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74D401E-85B2-45DF-A87E-D7695B776CA2}" xr6:coauthVersionLast="47" xr6:coauthVersionMax="47" xr10:uidLastSave="{00000000-0000-0000-0000-000000000000}"/>
  <bookViews>
    <workbookView xWindow="21480" yWindow="-120" windowWidth="24240" windowHeight="13140" xr2:uid="{89B47B86-412A-44CA-92BE-B603F762FF13}"/>
  </bookViews>
  <sheets>
    <sheet name="Inventory Report (From 5-29-202" sheetId="1" r:id="rId1"/>
  </sheets>
  <definedNames>
    <definedName name="_xlnm._FilterDatabase" localSheetId="0" hidden="1">'Inventory Report (From 5-29-202'!$J$2:$Q$2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9" i="1" l="1"/>
  <c r="J365" i="1"/>
  <c r="K368" i="1"/>
  <c r="J364" i="1"/>
  <c r="K367" i="1"/>
  <c r="J363" i="1"/>
  <c r="K366" i="1"/>
  <c r="J362" i="1"/>
  <c r="K365" i="1"/>
  <c r="J361" i="1"/>
  <c r="K364" i="1"/>
  <c r="J360" i="1"/>
  <c r="K363" i="1"/>
  <c r="J359" i="1"/>
  <c r="K362" i="1"/>
  <c r="J358" i="1"/>
  <c r="K361" i="1"/>
  <c r="J357" i="1"/>
  <c r="K360" i="1"/>
  <c r="J356" i="1"/>
  <c r="K359" i="1"/>
  <c r="J355" i="1"/>
  <c r="K358" i="1"/>
  <c r="J354" i="1"/>
  <c r="K357" i="1"/>
  <c r="J353" i="1"/>
  <c r="K356" i="1"/>
  <c r="J352" i="1"/>
  <c r="K355" i="1"/>
  <c r="J351" i="1"/>
  <c r="K354" i="1"/>
  <c r="J350" i="1"/>
  <c r="K353" i="1"/>
  <c r="J349" i="1"/>
  <c r="K352" i="1"/>
  <c r="J348" i="1"/>
  <c r="K351" i="1"/>
  <c r="J347" i="1"/>
  <c r="K350" i="1"/>
  <c r="J346" i="1"/>
  <c r="K349" i="1"/>
  <c r="J345" i="1"/>
  <c r="K348" i="1"/>
  <c r="J344" i="1"/>
  <c r="K347" i="1"/>
  <c r="J343" i="1"/>
  <c r="K346" i="1"/>
  <c r="J342" i="1"/>
  <c r="K345" i="1"/>
  <c r="J341" i="1"/>
  <c r="K344" i="1"/>
  <c r="J340" i="1"/>
  <c r="K343" i="1"/>
  <c r="J339" i="1"/>
  <c r="K342" i="1"/>
  <c r="J338" i="1"/>
  <c r="K341" i="1"/>
  <c r="J337" i="1"/>
  <c r="K340" i="1"/>
  <c r="J336" i="1"/>
  <c r="K339" i="1"/>
  <c r="J335" i="1"/>
  <c r="K338" i="1"/>
  <c r="J334" i="1"/>
  <c r="K337" i="1"/>
  <c r="J333" i="1"/>
  <c r="K336" i="1"/>
  <c r="J332" i="1"/>
  <c r="K335" i="1"/>
  <c r="J331" i="1"/>
  <c r="K334" i="1"/>
  <c r="J330" i="1"/>
  <c r="K333" i="1"/>
  <c r="J329" i="1"/>
  <c r="K332" i="1"/>
  <c r="J328" i="1"/>
  <c r="K331" i="1"/>
  <c r="J327" i="1"/>
  <c r="K330" i="1"/>
  <c r="J326" i="1"/>
  <c r="K329" i="1"/>
  <c r="J325" i="1"/>
  <c r="K328" i="1"/>
  <c r="J324" i="1"/>
  <c r="K327" i="1"/>
  <c r="J323" i="1"/>
  <c r="K326" i="1"/>
  <c r="J322" i="1"/>
  <c r="K325" i="1"/>
  <c r="J321" i="1"/>
  <c r="K324" i="1"/>
  <c r="J320" i="1"/>
  <c r="K323" i="1"/>
  <c r="J319" i="1"/>
  <c r="K322" i="1"/>
  <c r="J318" i="1"/>
  <c r="K321" i="1"/>
  <c r="J317" i="1"/>
  <c r="K320" i="1"/>
  <c r="J316" i="1"/>
  <c r="K319" i="1"/>
  <c r="J315" i="1"/>
  <c r="K318" i="1"/>
  <c r="J314" i="1"/>
  <c r="K317" i="1"/>
  <c r="J313" i="1"/>
  <c r="K316" i="1"/>
  <c r="J312" i="1"/>
  <c r="K315" i="1"/>
  <c r="J311" i="1"/>
  <c r="K314" i="1"/>
  <c r="J310" i="1"/>
  <c r="K313" i="1"/>
  <c r="J309" i="1"/>
  <c r="K312" i="1"/>
  <c r="J308" i="1"/>
  <c r="K311" i="1"/>
  <c r="J307" i="1"/>
  <c r="K310" i="1"/>
  <c r="J306" i="1"/>
  <c r="K309" i="1"/>
  <c r="J305" i="1"/>
  <c r="K308" i="1"/>
  <c r="J304" i="1"/>
  <c r="K307" i="1"/>
  <c r="J303" i="1"/>
  <c r="K306" i="1"/>
  <c r="J302" i="1"/>
  <c r="K305" i="1"/>
  <c r="J301" i="1"/>
  <c r="K304" i="1"/>
  <c r="J300" i="1"/>
  <c r="K303" i="1"/>
  <c r="J299" i="1"/>
  <c r="K302" i="1"/>
  <c r="J298" i="1"/>
  <c r="K301" i="1"/>
  <c r="J297" i="1"/>
  <c r="K300" i="1"/>
  <c r="J296" i="1"/>
  <c r="K299" i="1"/>
  <c r="J295" i="1"/>
  <c r="K298" i="1"/>
  <c r="J294" i="1"/>
  <c r="K297" i="1"/>
  <c r="J293" i="1"/>
  <c r="K296" i="1"/>
  <c r="J292" i="1"/>
  <c r="K295" i="1"/>
  <c r="J291" i="1"/>
  <c r="K294" i="1"/>
  <c r="J290" i="1"/>
  <c r="K293" i="1"/>
  <c r="J289" i="1"/>
  <c r="K292" i="1"/>
  <c r="J288" i="1"/>
  <c r="K291" i="1"/>
  <c r="J287" i="1"/>
  <c r="K290" i="1"/>
  <c r="J286" i="1"/>
  <c r="K289" i="1"/>
  <c r="J285" i="1"/>
  <c r="K288" i="1"/>
  <c r="J284" i="1"/>
  <c r="K287" i="1"/>
  <c r="J283" i="1"/>
  <c r="K286" i="1"/>
  <c r="J282" i="1"/>
  <c r="K285" i="1"/>
  <c r="J281" i="1"/>
  <c r="K284" i="1"/>
  <c r="J280" i="1"/>
  <c r="K283" i="1"/>
  <c r="J279" i="1"/>
  <c r="K282" i="1"/>
  <c r="J278" i="1"/>
  <c r="K281" i="1"/>
  <c r="J277" i="1"/>
  <c r="K280" i="1"/>
  <c r="J276" i="1"/>
  <c r="K279" i="1"/>
  <c r="J275" i="1"/>
  <c r="K278" i="1"/>
  <c r="J274" i="1"/>
  <c r="K277" i="1"/>
  <c r="J273" i="1"/>
  <c r="K276" i="1"/>
  <c r="J272" i="1"/>
  <c r="K275" i="1"/>
  <c r="J271" i="1"/>
  <c r="K274" i="1"/>
  <c r="J270" i="1"/>
  <c r="K273" i="1"/>
  <c r="J269" i="1"/>
  <c r="K272" i="1"/>
  <c r="J268" i="1"/>
  <c r="K271" i="1"/>
  <c r="J267" i="1"/>
  <c r="K270" i="1"/>
  <c r="J266" i="1"/>
  <c r="K269" i="1"/>
  <c r="J265" i="1"/>
  <c r="K268" i="1"/>
  <c r="J264" i="1"/>
  <c r="K267" i="1"/>
  <c r="J263" i="1"/>
  <c r="K266" i="1"/>
  <c r="J262" i="1"/>
  <c r="K265" i="1"/>
  <c r="J261" i="1"/>
  <c r="K264" i="1"/>
  <c r="J260" i="1"/>
  <c r="K263" i="1"/>
  <c r="J259" i="1"/>
  <c r="K262" i="1"/>
  <c r="J258" i="1"/>
  <c r="K261" i="1"/>
  <c r="J257" i="1"/>
  <c r="K260" i="1"/>
  <c r="J256" i="1"/>
  <c r="K259" i="1"/>
  <c r="J255" i="1"/>
  <c r="K258" i="1"/>
  <c r="J254" i="1"/>
  <c r="K257" i="1"/>
  <c r="J253" i="1"/>
  <c r="K256" i="1"/>
  <c r="J252" i="1"/>
  <c r="K255" i="1"/>
  <c r="J251" i="1"/>
  <c r="K254" i="1"/>
  <c r="J250" i="1"/>
  <c r="K253" i="1"/>
  <c r="J249" i="1"/>
  <c r="K252" i="1"/>
  <c r="J248" i="1"/>
  <c r="K251" i="1"/>
  <c r="J247" i="1"/>
  <c r="K250" i="1"/>
  <c r="J246" i="1"/>
  <c r="K249" i="1"/>
  <c r="J245" i="1"/>
  <c r="K248" i="1"/>
  <c r="J244" i="1"/>
  <c r="K247" i="1"/>
  <c r="J243" i="1"/>
  <c r="K246" i="1"/>
  <c r="J242" i="1"/>
  <c r="K245" i="1"/>
  <c r="J241" i="1"/>
  <c r="K244" i="1"/>
  <c r="J240" i="1"/>
  <c r="K243" i="1"/>
  <c r="J239" i="1"/>
  <c r="K242" i="1"/>
  <c r="J238" i="1"/>
  <c r="K241" i="1"/>
  <c r="J237" i="1"/>
  <c r="K240" i="1"/>
  <c r="J236" i="1"/>
  <c r="K239" i="1"/>
  <c r="J235" i="1"/>
  <c r="K238" i="1"/>
  <c r="J234" i="1"/>
  <c r="K237" i="1"/>
  <c r="J233" i="1"/>
  <c r="K236" i="1"/>
  <c r="J232" i="1"/>
  <c r="K235" i="1"/>
  <c r="J231" i="1"/>
  <c r="K234" i="1"/>
  <c r="J230" i="1"/>
  <c r="K233" i="1"/>
  <c r="J229" i="1"/>
  <c r="K232" i="1"/>
  <c r="J228" i="1"/>
  <c r="K231" i="1"/>
  <c r="J227" i="1"/>
  <c r="K230" i="1"/>
  <c r="J226" i="1"/>
  <c r="K229" i="1"/>
  <c r="J225" i="1"/>
  <c r="K228" i="1"/>
  <c r="J224" i="1"/>
  <c r="K227" i="1"/>
  <c r="J223" i="1"/>
  <c r="K226" i="1"/>
  <c r="J222" i="1"/>
  <c r="K225" i="1"/>
  <c r="J221" i="1"/>
  <c r="K224" i="1"/>
  <c r="J220" i="1"/>
  <c r="K223" i="1"/>
  <c r="J219" i="1"/>
  <c r="K222" i="1"/>
  <c r="J218" i="1"/>
  <c r="K221" i="1"/>
  <c r="J217" i="1"/>
  <c r="K220" i="1"/>
  <c r="J216" i="1"/>
  <c r="K219" i="1"/>
  <c r="J215" i="1"/>
  <c r="K218" i="1"/>
  <c r="J214" i="1"/>
  <c r="K217" i="1"/>
  <c r="J213" i="1"/>
  <c r="K216" i="1"/>
  <c r="J212" i="1"/>
  <c r="K215" i="1"/>
  <c r="J211" i="1"/>
  <c r="K214" i="1"/>
  <c r="J210" i="1"/>
  <c r="K213" i="1"/>
  <c r="J209" i="1"/>
  <c r="K212" i="1"/>
  <c r="J208" i="1"/>
  <c r="K211" i="1"/>
  <c r="J207" i="1"/>
  <c r="K210" i="1"/>
  <c r="J206" i="1"/>
  <c r="K209" i="1"/>
  <c r="J205" i="1"/>
  <c r="K208" i="1"/>
  <c r="J204" i="1"/>
  <c r="K207" i="1"/>
  <c r="J203" i="1"/>
  <c r="K206" i="1"/>
  <c r="J202" i="1"/>
  <c r="K205" i="1"/>
  <c r="J201" i="1"/>
  <c r="K204" i="1"/>
  <c r="J200" i="1"/>
  <c r="K203" i="1"/>
  <c r="J199" i="1"/>
  <c r="K202" i="1"/>
  <c r="J198" i="1"/>
  <c r="K201" i="1"/>
  <c r="J197" i="1"/>
  <c r="K200" i="1"/>
  <c r="J196" i="1"/>
  <c r="K199" i="1"/>
  <c r="J195" i="1"/>
  <c r="K198" i="1"/>
  <c r="J194" i="1"/>
  <c r="K197" i="1"/>
  <c r="J193" i="1"/>
  <c r="K196" i="1"/>
  <c r="J192" i="1"/>
  <c r="K195" i="1"/>
  <c r="J191" i="1"/>
  <c r="K194" i="1"/>
  <c r="J190" i="1"/>
  <c r="K193" i="1"/>
  <c r="J189" i="1"/>
  <c r="K192" i="1"/>
  <c r="J188" i="1"/>
  <c r="K191" i="1"/>
  <c r="J187" i="1"/>
  <c r="K190" i="1"/>
  <c r="J186" i="1"/>
  <c r="K189" i="1"/>
  <c r="J185" i="1"/>
  <c r="K188" i="1"/>
  <c r="J184" i="1"/>
  <c r="K187" i="1"/>
  <c r="J183" i="1"/>
  <c r="K186" i="1"/>
  <c r="J182" i="1"/>
  <c r="K185" i="1"/>
  <c r="J181" i="1"/>
  <c r="K184" i="1"/>
  <c r="J180" i="1"/>
  <c r="K183" i="1"/>
  <c r="J179" i="1"/>
  <c r="K182" i="1"/>
  <c r="J178" i="1"/>
  <c r="K181" i="1"/>
  <c r="J177" i="1"/>
  <c r="K180" i="1"/>
  <c r="J176" i="1"/>
  <c r="K179" i="1"/>
  <c r="J175" i="1"/>
  <c r="K178" i="1"/>
  <c r="J174" i="1"/>
  <c r="K177" i="1"/>
  <c r="J173" i="1"/>
  <c r="K176" i="1"/>
  <c r="J172" i="1"/>
  <c r="K175" i="1"/>
  <c r="J171" i="1"/>
  <c r="K174" i="1"/>
  <c r="J170" i="1"/>
  <c r="K173" i="1"/>
  <c r="J169" i="1"/>
  <c r="K172" i="1"/>
  <c r="J168" i="1"/>
  <c r="K171" i="1"/>
  <c r="J167" i="1"/>
  <c r="K170" i="1"/>
  <c r="J166" i="1"/>
  <c r="K169" i="1"/>
  <c r="J165" i="1"/>
  <c r="K168" i="1"/>
  <c r="J164" i="1"/>
  <c r="K167" i="1"/>
  <c r="J163" i="1"/>
  <c r="K166" i="1"/>
  <c r="J162" i="1"/>
  <c r="K165" i="1"/>
  <c r="J161" i="1"/>
  <c r="K164" i="1"/>
  <c r="J160" i="1"/>
  <c r="K163" i="1"/>
  <c r="J159" i="1"/>
  <c r="K162" i="1"/>
  <c r="J158" i="1"/>
  <c r="K161" i="1"/>
  <c r="J157" i="1"/>
  <c r="K160" i="1"/>
  <c r="J156" i="1"/>
  <c r="K159" i="1"/>
  <c r="J155" i="1"/>
  <c r="K158" i="1"/>
  <c r="J154" i="1"/>
  <c r="K157" i="1"/>
  <c r="J153" i="1"/>
  <c r="K156" i="1"/>
  <c r="J152" i="1"/>
  <c r="K155" i="1"/>
  <c r="J151" i="1"/>
  <c r="K154" i="1"/>
  <c r="J150" i="1"/>
  <c r="K153" i="1"/>
  <c r="J149" i="1"/>
  <c r="K152" i="1"/>
  <c r="J148" i="1"/>
  <c r="K151" i="1"/>
  <c r="J147" i="1"/>
  <c r="K150" i="1"/>
  <c r="J146" i="1"/>
  <c r="K149" i="1"/>
  <c r="J145" i="1"/>
  <c r="K148" i="1"/>
  <c r="J144" i="1"/>
  <c r="K147" i="1"/>
  <c r="J143" i="1"/>
  <c r="K146" i="1"/>
  <c r="J142" i="1"/>
  <c r="K145" i="1"/>
  <c r="J141" i="1"/>
  <c r="K144" i="1"/>
  <c r="J140" i="1"/>
  <c r="K143" i="1"/>
  <c r="J139" i="1"/>
  <c r="K142" i="1"/>
  <c r="J138" i="1"/>
  <c r="K141" i="1"/>
  <c r="J137" i="1"/>
  <c r="K140" i="1"/>
  <c r="J136" i="1"/>
  <c r="K139" i="1"/>
  <c r="J135" i="1"/>
  <c r="K138" i="1"/>
  <c r="J134" i="1"/>
  <c r="K137" i="1"/>
  <c r="J133" i="1"/>
  <c r="K136" i="1"/>
  <c r="J132" i="1"/>
  <c r="K135" i="1"/>
  <c r="J131" i="1"/>
  <c r="K134" i="1"/>
  <c r="J130" i="1"/>
  <c r="K133" i="1"/>
  <c r="J129" i="1"/>
  <c r="K132" i="1"/>
  <c r="J128" i="1"/>
  <c r="K131" i="1"/>
  <c r="J127" i="1"/>
  <c r="K130" i="1"/>
  <c r="J126" i="1"/>
  <c r="K129" i="1"/>
  <c r="J125" i="1"/>
  <c r="K128" i="1"/>
  <c r="J124" i="1"/>
  <c r="K127" i="1"/>
  <c r="J123" i="1"/>
  <c r="K126" i="1"/>
  <c r="J122" i="1"/>
  <c r="K125" i="1"/>
  <c r="J121" i="1"/>
  <c r="K124" i="1"/>
  <c r="J120" i="1"/>
  <c r="K123" i="1"/>
  <c r="J119" i="1"/>
  <c r="K122" i="1"/>
  <c r="J118" i="1"/>
  <c r="K121" i="1"/>
  <c r="J117" i="1"/>
  <c r="K120" i="1"/>
  <c r="J116" i="1"/>
  <c r="K119" i="1"/>
  <c r="J115" i="1"/>
  <c r="K118" i="1"/>
  <c r="J114" i="1"/>
  <c r="K117" i="1"/>
  <c r="J113" i="1"/>
  <c r="K116" i="1"/>
  <c r="J112" i="1"/>
  <c r="K115" i="1"/>
  <c r="J111" i="1"/>
  <c r="K114" i="1"/>
  <c r="J110" i="1"/>
  <c r="K113" i="1"/>
  <c r="J109" i="1"/>
  <c r="K112" i="1"/>
  <c r="J108" i="1"/>
  <c r="K111" i="1"/>
  <c r="J107" i="1"/>
  <c r="K110" i="1"/>
  <c r="J106" i="1"/>
  <c r="K109" i="1"/>
  <c r="J105" i="1"/>
  <c r="K108" i="1"/>
  <c r="J104" i="1"/>
  <c r="K107" i="1"/>
  <c r="J103" i="1"/>
  <c r="K106" i="1"/>
  <c r="J102" i="1"/>
  <c r="K105" i="1"/>
  <c r="J101" i="1"/>
  <c r="K104" i="1"/>
  <c r="J100" i="1"/>
  <c r="K103" i="1"/>
  <c r="J99" i="1"/>
  <c r="K102" i="1"/>
  <c r="J98" i="1"/>
  <c r="K101" i="1"/>
  <c r="J97" i="1"/>
  <c r="K100" i="1"/>
  <c r="J96" i="1"/>
  <c r="K99" i="1"/>
  <c r="J95" i="1"/>
  <c r="K98" i="1"/>
  <c r="J94" i="1"/>
  <c r="K97" i="1"/>
  <c r="J93" i="1"/>
  <c r="K96" i="1"/>
  <c r="J92" i="1"/>
  <c r="K95" i="1"/>
  <c r="J91" i="1"/>
  <c r="K94" i="1"/>
  <c r="J90" i="1"/>
  <c r="K93" i="1"/>
  <c r="J89" i="1"/>
  <c r="K92" i="1"/>
  <c r="J88" i="1"/>
  <c r="K91" i="1"/>
  <c r="J87" i="1"/>
  <c r="K90" i="1"/>
  <c r="J86" i="1"/>
  <c r="K89" i="1"/>
  <c r="J85" i="1"/>
  <c r="K88" i="1"/>
  <c r="J84" i="1"/>
  <c r="K87" i="1"/>
  <c r="J83" i="1"/>
  <c r="K86" i="1"/>
  <c r="J82" i="1"/>
  <c r="K85" i="1"/>
  <c r="J81" i="1"/>
  <c r="K84" i="1"/>
  <c r="J80" i="1"/>
  <c r="K83" i="1"/>
  <c r="J79" i="1"/>
  <c r="K82" i="1"/>
  <c r="J78" i="1"/>
  <c r="K81" i="1"/>
  <c r="J77" i="1"/>
  <c r="K80" i="1"/>
  <c r="J76" i="1"/>
  <c r="K79" i="1"/>
  <c r="J75" i="1"/>
  <c r="K78" i="1"/>
  <c r="J74" i="1"/>
  <c r="K77" i="1"/>
  <c r="J73" i="1"/>
  <c r="K76" i="1"/>
  <c r="J72" i="1"/>
  <c r="K75" i="1"/>
  <c r="J71" i="1"/>
  <c r="K74" i="1"/>
  <c r="J70" i="1"/>
  <c r="K73" i="1"/>
  <c r="J69" i="1"/>
  <c r="K72" i="1"/>
  <c r="J68" i="1"/>
  <c r="K71" i="1"/>
  <c r="J67" i="1"/>
  <c r="K70" i="1"/>
  <c r="J66" i="1"/>
  <c r="K69" i="1"/>
  <c r="J65" i="1"/>
  <c r="K68" i="1"/>
  <c r="J64" i="1"/>
  <c r="K67" i="1"/>
  <c r="J63" i="1"/>
  <c r="K66" i="1"/>
  <c r="J62" i="1"/>
  <c r="K65" i="1"/>
  <c r="J61" i="1"/>
  <c r="K64" i="1"/>
  <c r="J60" i="1"/>
  <c r="K63" i="1"/>
  <c r="J59" i="1"/>
  <c r="K62" i="1"/>
  <c r="J58" i="1"/>
  <c r="K61" i="1"/>
  <c r="J57" i="1"/>
  <c r="K60" i="1"/>
  <c r="J56" i="1"/>
  <c r="K59" i="1"/>
  <c r="J55" i="1"/>
  <c r="K58" i="1"/>
  <c r="J54" i="1"/>
  <c r="K57" i="1"/>
  <c r="J53" i="1"/>
  <c r="K56" i="1"/>
  <c r="J52" i="1"/>
  <c r="K55" i="1"/>
  <c r="J51" i="1"/>
  <c r="K54" i="1"/>
  <c r="J50" i="1"/>
  <c r="K53" i="1"/>
  <c r="J49" i="1"/>
  <c r="K52" i="1"/>
  <c r="J48" i="1"/>
  <c r="K51" i="1"/>
  <c r="J47" i="1"/>
  <c r="K50" i="1"/>
  <c r="J46" i="1"/>
  <c r="K49" i="1"/>
  <c r="J45" i="1"/>
  <c r="K48" i="1"/>
  <c r="J44" i="1"/>
  <c r="K47" i="1"/>
  <c r="J43" i="1"/>
  <c r="K46" i="1"/>
  <c r="J42" i="1"/>
  <c r="K45" i="1"/>
  <c r="J41" i="1"/>
  <c r="K44" i="1"/>
  <c r="J40" i="1"/>
  <c r="K43" i="1"/>
  <c r="J39" i="1"/>
  <c r="K42" i="1"/>
  <c r="J38" i="1"/>
  <c r="K41" i="1"/>
  <c r="J37" i="1"/>
  <c r="K40" i="1"/>
  <c r="J36" i="1"/>
  <c r="K39" i="1"/>
  <c r="J35" i="1"/>
  <c r="K38" i="1"/>
  <c r="J34" i="1"/>
  <c r="K37" i="1"/>
  <c r="J33" i="1"/>
  <c r="K36" i="1"/>
  <c r="J32" i="1"/>
  <c r="K35" i="1"/>
  <c r="J31" i="1"/>
  <c r="K34" i="1"/>
  <c r="J30" i="1"/>
  <c r="K33" i="1"/>
  <c r="J29" i="1"/>
  <c r="K32" i="1"/>
  <c r="J28" i="1"/>
  <c r="K31" i="1"/>
  <c r="J27" i="1"/>
  <c r="K30" i="1"/>
  <c r="J26" i="1"/>
  <c r="K29" i="1"/>
  <c r="J25" i="1"/>
  <c r="K28" i="1"/>
  <c r="J24" i="1"/>
  <c r="K27" i="1"/>
  <c r="J23" i="1"/>
  <c r="K26" i="1"/>
  <c r="J22" i="1"/>
  <c r="K25" i="1"/>
  <c r="J21" i="1"/>
  <c r="K24" i="1"/>
  <c r="J20" i="1"/>
  <c r="K23" i="1"/>
  <c r="J19" i="1"/>
  <c r="K22" i="1"/>
  <c r="J18" i="1"/>
  <c r="K21" i="1"/>
  <c r="J17" i="1"/>
  <c r="K20" i="1"/>
  <c r="J16" i="1"/>
  <c r="K19" i="1"/>
  <c r="J15" i="1"/>
  <c r="K18" i="1"/>
  <c r="J14" i="1"/>
  <c r="K17" i="1"/>
  <c r="J13" i="1"/>
  <c r="K16" i="1"/>
  <c r="J12" i="1"/>
  <c r="K15" i="1"/>
  <c r="J11" i="1"/>
  <c r="K14" i="1"/>
  <c r="J10" i="1"/>
  <c r="K13" i="1"/>
  <c r="J9" i="1"/>
  <c r="K12" i="1"/>
  <c r="J8" i="1"/>
  <c r="K11" i="1"/>
  <c r="J7" i="1"/>
  <c r="K10" i="1"/>
  <c r="J6" i="1"/>
  <c r="K9" i="1"/>
  <c r="J5" i="1"/>
  <c r="K8" i="1"/>
  <c r="J4" i="1"/>
  <c r="K3" i="1"/>
  <c r="J3" i="1"/>
</calcChain>
</file>

<file path=xl/sharedStrings.xml><?xml version="1.0" encoding="utf-8"?>
<sst xmlns="http://schemas.openxmlformats.org/spreadsheetml/2006/main" count="1968" uniqueCount="605">
  <si>
    <t>Inventory Code</t>
  </si>
  <si>
    <t>Barcode</t>
  </si>
  <si>
    <t>Item Description</t>
  </si>
  <si>
    <t>Beginning Quantity</t>
  </si>
  <si>
    <t>In Quantity</t>
  </si>
  <si>
    <t>Out Quantity</t>
  </si>
  <si>
    <t>Ending Quantity</t>
  </si>
  <si>
    <t>Unit</t>
  </si>
  <si>
    <t>IN-002-0000000001</t>
  </si>
  <si>
    <t>PROMIX HOG Piglet Booster PLUS(1x20) Pack</t>
  </si>
  <si>
    <t>Kg(s)</t>
  </si>
  <si>
    <t>PROMIX Calibre Hog Starter (50kgs) bag</t>
  </si>
  <si>
    <t>Bag(s)</t>
  </si>
  <si>
    <t>PROMIX PDP 3mm ADV Kilo</t>
  </si>
  <si>
    <t>PROMIX HOG Starter PLUS(50kgs) Bag</t>
  </si>
  <si>
    <t>Viminolak (tab)</t>
  </si>
  <si>
    <t>Pc(s)</t>
  </si>
  <si>
    <t>IN-002-0000000241</t>
  </si>
  <si>
    <t>MYLORA187</t>
  </si>
  <si>
    <t>Viminolak Box</t>
  </si>
  <si>
    <t>Box(s)</t>
  </si>
  <si>
    <t>IN-002-0000000303</t>
  </si>
  <si>
    <t>Vetracin gold 5g+prebiotics 50s</t>
  </si>
  <si>
    <t>Selectrogen 20g</t>
  </si>
  <si>
    <t>PROMIX Calibre Hog Grower 50 kls Bag</t>
  </si>
  <si>
    <t>PROMIX Hog Gestating Plus (50kgs) Bag</t>
  </si>
  <si>
    <t>IN-002-0000000043</t>
  </si>
  <si>
    <t>Amoxicillin(ambimox) 500g 100s pcs</t>
  </si>
  <si>
    <t>IN-002-0000000893</t>
  </si>
  <si>
    <t>MYLORA149</t>
  </si>
  <si>
    <t>Selectrogen  20g 12s Box</t>
  </si>
  <si>
    <t>Voltplex (tab)</t>
  </si>
  <si>
    <t>IN-002-0000001275</t>
  </si>
  <si>
    <t>MYLORA388</t>
  </si>
  <si>
    <t>Rose Gold Blue 25kg Bag</t>
  </si>
  <si>
    <t>IN-002-0000000032</t>
  </si>
  <si>
    <t>Lion Ivory 5kg Pack</t>
  </si>
  <si>
    <t>IN-002-0000000093</t>
  </si>
  <si>
    <t>Combinex 50ml</t>
  </si>
  <si>
    <t>Bot(s)</t>
  </si>
  <si>
    <t>Vetracin Gold 70mg (cap)</t>
  </si>
  <si>
    <t>MYLORA183</t>
  </si>
  <si>
    <t>Vetracin Premium 5g Box</t>
  </si>
  <si>
    <t>PROMIX Hog Lactating Plus (50kgs) Bag</t>
  </si>
  <si>
    <t>PROMIX Calibre Hog Finisher (50kgs) bag</t>
  </si>
  <si>
    <t>MYLORA205</t>
  </si>
  <si>
    <t>PROMIX Aves 35 kilo</t>
  </si>
  <si>
    <t>MYLORA203</t>
  </si>
  <si>
    <t>EGG L /tray</t>
  </si>
  <si>
    <t>Tray(s)</t>
  </si>
  <si>
    <t>Pork O Milk 150g</t>
  </si>
  <si>
    <t>Pack(s)</t>
  </si>
  <si>
    <t>PROMIX Aves 20 crumble  kilo</t>
  </si>
  <si>
    <t>PROMIX Aves 30 (50kgs) Bag</t>
  </si>
  <si>
    <t>IN-002-0000001492</t>
  </si>
  <si>
    <t>Jectran premium 10ml</t>
  </si>
  <si>
    <t>IN-002-0000000035</t>
  </si>
  <si>
    <t xml:space="preserve">Ivermectin 100ml Bottle </t>
  </si>
  <si>
    <t>IN-002-0000002066</t>
  </si>
  <si>
    <t>TH. Stag Developer 1to4 (repack)</t>
  </si>
  <si>
    <t>IN-002-0000002095</t>
  </si>
  <si>
    <t xml:space="preserve">Fighting Cockbox Double </t>
  </si>
  <si>
    <t>IN-002-0000002062</t>
  </si>
  <si>
    <t>Th. Stag Developer 1to4 (case)</t>
  </si>
  <si>
    <t>Case(s)</t>
  </si>
  <si>
    <t>IN-002-0000000337</t>
  </si>
  <si>
    <t>PROMIX HOG Piglet Booster PLUS (10kgs) Bag</t>
  </si>
  <si>
    <t>IN-002-0000000345</t>
  </si>
  <si>
    <t>MYLORA063</t>
  </si>
  <si>
    <t>Electrogen D+ 20g Box</t>
  </si>
  <si>
    <t>IN-002-0000002895</t>
  </si>
  <si>
    <t>Lion ivory 5kg(10s) case</t>
  </si>
  <si>
    <t>PROMIX Calibre Hog Lacta (50kgs) bag</t>
  </si>
  <si>
    <t>PROMIX LAYER Crumble 1 PREMIUM  Kilo</t>
  </si>
  <si>
    <t>MYLORA422</t>
  </si>
  <si>
    <t>PROMIX PDP 4mm ADV (50kgs) Bag</t>
  </si>
  <si>
    <t>PROMIX PIGEON Red ADV Kilo</t>
  </si>
  <si>
    <t>Trisulak 3A (tab)</t>
  </si>
  <si>
    <t>Vetracin Classic 5g</t>
  </si>
  <si>
    <t>vetracin Gold 5g+Prebiotics pcs 48s</t>
  </si>
  <si>
    <t>MYLORA186</t>
  </si>
  <si>
    <t>Vetracin Ultima 50s Box</t>
  </si>
  <si>
    <t>Vitmin pro 20g</t>
  </si>
  <si>
    <t>MYLORA198</t>
  </si>
  <si>
    <t>Zeromite 10ml 24s Box</t>
  </si>
  <si>
    <t>IN-002-0000000075</t>
  </si>
  <si>
    <t>Ganador 50kg Bag</t>
  </si>
  <si>
    <t>IN-002-0000000088</t>
  </si>
  <si>
    <t>Delta Cap</t>
  </si>
  <si>
    <t>Liter(s)</t>
  </si>
  <si>
    <t>IN-002-0000000092</t>
  </si>
  <si>
    <t>Promix Layer Chick Grower Crumble adv. (50kgs) Bag</t>
  </si>
  <si>
    <t>IN-002-0000000094</t>
  </si>
  <si>
    <t>PROMIX Layer 1 Calibre-Short pellets 3mm BAG</t>
  </si>
  <si>
    <t>IN-002-0000000219</t>
  </si>
  <si>
    <t>MYLORA164</t>
  </si>
  <si>
    <t>Top Breed Puppy Bag</t>
  </si>
  <si>
    <t>IN-002-0000000742</t>
  </si>
  <si>
    <t>MYLORA137</t>
  </si>
  <si>
    <t>Promotor Tab Box</t>
  </si>
  <si>
    <t>PROMIX HOG Grower PLUS (50kgs) Bag</t>
  </si>
  <si>
    <t>IN-002-0000000544</t>
  </si>
  <si>
    <t>B12 AAFES Bottle</t>
  </si>
  <si>
    <t>IN-002-0000000925</t>
  </si>
  <si>
    <t>Ganador (kilo)</t>
  </si>
  <si>
    <t>IN-002-0000000956</t>
  </si>
  <si>
    <t>VetsGrogold Water Soluble Premix 1kg</t>
  </si>
  <si>
    <t>LIVOCIN LIQUID 1 LITTER</t>
  </si>
  <si>
    <t>IN-002-0000000745</t>
  </si>
  <si>
    <t>Sulpar Qr 5g pcs</t>
  </si>
  <si>
    <t>MYLORA359</t>
  </si>
  <si>
    <t>Gonadin 250-2ml</t>
  </si>
  <si>
    <t>IN-002-0000001117</t>
  </si>
  <si>
    <t xml:space="preserve">4 in 1 set slasher </t>
  </si>
  <si>
    <t>IN-002-0000001128</t>
  </si>
  <si>
    <t>Syringe 3mlx100s Box</t>
  </si>
  <si>
    <t>IN-002-0000001130</t>
  </si>
  <si>
    <t>Bucket Feeder 5kg</t>
  </si>
  <si>
    <t>Pitoxal 5ml</t>
  </si>
  <si>
    <t>IN-002-0000000504</t>
  </si>
  <si>
    <t>Waterer Trough 2.5L</t>
  </si>
  <si>
    <t>IN-002-0000001212</t>
  </si>
  <si>
    <t>Waterer 1 gal. LDI</t>
  </si>
  <si>
    <t>IN-002-0000001607</t>
  </si>
  <si>
    <t>MYLORA375</t>
  </si>
  <si>
    <t>Crack corn 25kg kilo</t>
  </si>
  <si>
    <t>IN-002-0000001835</t>
  </si>
  <si>
    <t>MYLORA189</t>
  </si>
  <si>
    <t>Vitmin Pro tab 100s * box</t>
  </si>
  <si>
    <t>IN-002-0000001897</t>
  </si>
  <si>
    <t>MYLORA054</t>
  </si>
  <si>
    <t>Doximol 5g Pcs</t>
  </si>
  <si>
    <t>IN-002-0000002168</t>
  </si>
  <si>
    <t>Sulpar QR tab 100s BOX</t>
  </si>
  <si>
    <t>IN-002-0000004379</t>
  </si>
  <si>
    <t>Pramectin 100s Tab</t>
  </si>
  <si>
    <t>IN-002-0000000546</t>
  </si>
  <si>
    <t>IN-002-0000003022</t>
  </si>
  <si>
    <t>PROMIX Aves 25 KILO</t>
  </si>
  <si>
    <t>PROMIX Calibre Hog Grower kilos</t>
  </si>
  <si>
    <t>PROMIX Aves 20  crumble (50kgs)  Bag</t>
  </si>
  <si>
    <t>MYLORA355</t>
  </si>
  <si>
    <t>PROMIX Aves 30  kilo</t>
  </si>
  <si>
    <t>PROMIX Aves 20 Pellets 50kg Bag</t>
  </si>
  <si>
    <t>PROMIX HOG Finisher PLUS (50kgs) Bag</t>
  </si>
  <si>
    <t>PROMIX Calibre Hog Finisher Kilos</t>
  </si>
  <si>
    <t>MYLORA302</t>
  </si>
  <si>
    <t>Egg 1000 20g</t>
  </si>
  <si>
    <t>MYLORA237</t>
  </si>
  <si>
    <t>Doxylak (tab)</t>
  </si>
  <si>
    <t>MYLORA163</t>
  </si>
  <si>
    <t>Top Breed Adult kilo</t>
  </si>
  <si>
    <t>PROMIX Aves 40 (25kgs) bag</t>
  </si>
  <si>
    <t>MYLORA091</t>
  </si>
  <si>
    <t>MultiVitamins 100s</t>
  </si>
  <si>
    <t>MYLORA193</t>
  </si>
  <si>
    <t>WB 7kinds Concentrate/conditioner (50 kgs)</t>
  </si>
  <si>
    <t>Quickheal 50ml Bottle</t>
  </si>
  <si>
    <t>Tie cord long</t>
  </si>
  <si>
    <t>MYLORA206</t>
  </si>
  <si>
    <t>Latigo 1000 10g</t>
  </si>
  <si>
    <t>MYLORA297</t>
  </si>
  <si>
    <t>Rose Gold Yellow 50kg Kilo</t>
  </si>
  <si>
    <t>Lion Ivory 50kg Kilo</t>
  </si>
  <si>
    <t>MYLORA165</t>
  </si>
  <si>
    <t>Top Breed Puppy Kilo</t>
  </si>
  <si>
    <t>Lion Ivory 50kg Bag</t>
  </si>
  <si>
    <t>Apralyte 6g</t>
  </si>
  <si>
    <t>Calvex (tab)</t>
  </si>
  <si>
    <t>MYLORA LOYALTY CARD</t>
  </si>
  <si>
    <t>MYLORA207</t>
  </si>
  <si>
    <t>Latigo 1000 5g</t>
  </si>
  <si>
    <t>Agmectin 5g</t>
  </si>
  <si>
    <t>Pet One Dogibeef 35kg (5kg) Pack</t>
  </si>
  <si>
    <t>Waterer 1 gal.</t>
  </si>
  <si>
    <t>PROMIX Aves 10 (50kgs) Bag</t>
  </si>
  <si>
    <t>Rubber Pot</t>
  </si>
  <si>
    <t>Calcium bottles(s)</t>
  </si>
  <si>
    <t>Pepe 5g pcs</t>
  </si>
  <si>
    <t>MYLORA056</t>
  </si>
  <si>
    <t>Doxylak Powder 7g</t>
  </si>
  <si>
    <t>MYLORA119</t>
  </si>
  <si>
    <t>Premoxil 5g powder box</t>
  </si>
  <si>
    <t>MYLORA285</t>
  </si>
  <si>
    <t>tie cord medium</t>
  </si>
  <si>
    <t>MYLORA116</t>
  </si>
  <si>
    <t>Pet One Dogibeef 35kg (by 7s) Bag</t>
  </si>
  <si>
    <t>Pidro 2.4g</t>
  </si>
  <si>
    <t>PET one Dogibeef (22.72kgs) bag</t>
  </si>
  <si>
    <t>MYLORA084</t>
  </si>
  <si>
    <t>Major D  20ml Box 30s</t>
  </si>
  <si>
    <t xml:space="preserve">Egg XL </t>
  </si>
  <si>
    <t xml:space="preserve">Egg Small </t>
  </si>
  <si>
    <t>EGG L /pc</t>
  </si>
  <si>
    <t>MYLORA053</t>
  </si>
  <si>
    <t>Doximol 5g Box</t>
  </si>
  <si>
    <t>BELAMYL (per ml)</t>
  </si>
  <si>
    <t>cc</t>
  </si>
  <si>
    <t>MYLORA160</t>
  </si>
  <si>
    <t>Thyrolac 50g Box</t>
  </si>
  <si>
    <t>Dox C-lin Gold Premium 5g (box)</t>
  </si>
  <si>
    <t>Promix pre-starter (25kgs) Bag</t>
  </si>
  <si>
    <t>MYLORA381</t>
  </si>
  <si>
    <t>Pollard soft URC 40KG  kilo</t>
  </si>
  <si>
    <t>(NOT ACTIVE)EGG 1000 1Kg*</t>
  </si>
  <si>
    <t>MYLORA283</t>
  </si>
  <si>
    <t>3x3 Blue(baga)</t>
  </si>
  <si>
    <t>MYLORA251</t>
  </si>
  <si>
    <t>Waterer 1/2 gal.</t>
  </si>
  <si>
    <t>MYLORA374</t>
  </si>
  <si>
    <t>Cockbox plastic (single)</t>
  </si>
  <si>
    <t>Belamyl 100ml</t>
  </si>
  <si>
    <t>IN-002-0000004194</t>
  </si>
  <si>
    <t>Derbimox 100s BOX</t>
  </si>
  <si>
    <t>Complexor 3000 (per ml)</t>
  </si>
  <si>
    <t>PROMIX Layer Chick Grower Crumble adv. Kilo</t>
  </si>
  <si>
    <t>IN-002-0000000019</t>
  </si>
  <si>
    <t>Aqua floater grower kilo</t>
  </si>
  <si>
    <t>(NOT ACTIVE)PROMIX Pigeon Brown Adv. (50kgs) Bag</t>
  </si>
  <si>
    <t>IN-002-0000001059</t>
  </si>
  <si>
    <t>Palawan Rice 50kg Bag</t>
  </si>
  <si>
    <t>V22 100s Bottle</t>
  </si>
  <si>
    <t>Texas Combat 50s pcs</t>
  </si>
  <si>
    <t>Cockbox plastic double</t>
  </si>
  <si>
    <t>MYLORA298</t>
  </si>
  <si>
    <t>Gabot</t>
  </si>
  <si>
    <t>plastic linear feeder 1ft.</t>
  </si>
  <si>
    <t>MYLORA377</t>
  </si>
  <si>
    <t>Excellent Rice 50kg Kilo</t>
  </si>
  <si>
    <t>(NOT ACTIVE)Palawan Rice 50kg Kilo</t>
  </si>
  <si>
    <t>MYLORA245</t>
  </si>
  <si>
    <t>Zeromite 10ml</t>
  </si>
  <si>
    <t>MYLORA005</t>
  </si>
  <si>
    <t>Agmectin 5g Box</t>
  </si>
  <si>
    <t>MYLORA014</t>
  </si>
  <si>
    <t>amoxil-v box 24s</t>
  </si>
  <si>
    <t>Bacterid 10ml</t>
  </si>
  <si>
    <t>IN-002-0000000074</t>
  </si>
  <si>
    <t>MYLORA345</t>
  </si>
  <si>
    <t>Denorado Lami 50kg Bag</t>
  </si>
  <si>
    <t>IN-002-0000000202</t>
  </si>
  <si>
    <t>PROMIX Calibre Hog Gesta kilos</t>
  </si>
  <si>
    <t>IN-002-0000000412</t>
  </si>
  <si>
    <t>MYLORA114</t>
  </si>
  <si>
    <t>PARA V 6GRMSX24S</t>
  </si>
  <si>
    <t>multi-v 6g (box)</t>
  </si>
  <si>
    <t>MYLORA007</t>
  </si>
  <si>
    <t>Ambroxitil  5g 48s Box</t>
  </si>
  <si>
    <t>MYLORA017</t>
  </si>
  <si>
    <t>Aquadox 5g Box</t>
  </si>
  <si>
    <t>Syringe 5ml 100s BOX</t>
  </si>
  <si>
    <t>IN-002-0000001129</t>
  </si>
  <si>
    <t>MYLORA168</t>
  </si>
  <si>
    <t>Trimax Box</t>
  </si>
  <si>
    <t>IN-002-0000001754</t>
  </si>
  <si>
    <t>Green Solution 50kg BAG</t>
  </si>
  <si>
    <t>Hapin 100s (pcs)</t>
  </si>
  <si>
    <t>MYLORA030</t>
  </si>
  <si>
    <t>Bingo Adult 20kg Kilo</t>
  </si>
  <si>
    <t>MYLORA018</t>
  </si>
  <si>
    <t>Astig Box</t>
  </si>
  <si>
    <t>MYLORA231</t>
  </si>
  <si>
    <t>Bacterid (per ml)</t>
  </si>
  <si>
    <t>MYLORA028</t>
  </si>
  <si>
    <t>Bexan XP 100ml</t>
  </si>
  <si>
    <t>Dox C-lin Gold Premium 5g (pcs)</t>
  </si>
  <si>
    <t>Clay pot round/small (kaang)</t>
  </si>
  <si>
    <t>MYLORA295</t>
  </si>
  <si>
    <t>Egg tray (120pcs) Bundle</t>
  </si>
  <si>
    <t>Bundle(s)</t>
  </si>
  <si>
    <t>MYLORA094</t>
  </si>
  <si>
    <t>Nipple Drinker #1 Sow Nipple Drinker with Red Strainer</t>
  </si>
  <si>
    <t>MYLORA247</t>
  </si>
  <si>
    <t xml:space="preserve">Syringe 3ml </t>
  </si>
  <si>
    <t>waterer 1 gal. LDI (hanging)</t>
  </si>
  <si>
    <t>whiskas 7kg (kilo)</t>
  </si>
  <si>
    <t>Pet one Dogibeef kilo</t>
  </si>
  <si>
    <t>MYLORA162</t>
  </si>
  <si>
    <t>Top Breed Adult Bag</t>
  </si>
  <si>
    <t>MAIS #16 KILO</t>
  </si>
  <si>
    <t>Wash out 10ml</t>
  </si>
  <si>
    <t>Agmectin 2g</t>
  </si>
  <si>
    <t>Amoxicillin(ambimox) 500g 100s Box</t>
  </si>
  <si>
    <t>Aquadox 5g</t>
  </si>
  <si>
    <t>Bacterid 100ml</t>
  </si>
  <si>
    <t>Bee Pollen  (tab)</t>
  </si>
  <si>
    <t>Belamyl 20ml</t>
  </si>
  <si>
    <t>MYLORA113</t>
  </si>
  <si>
    <t>PARA V 6GRMS</t>
  </si>
  <si>
    <t>Premoxil (tab)</t>
  </si>
  <si>
    <t>Pyristat 7g</t>
  </si>
  <si>
    <t>MYLORA358</t>
  </si>
  <si>
    <t>Robipenstrep 10 doses</t>
  </si>
  <si>
    <t xml:space="preserve">Syringe 5ml </t>
  </si>
  <si>
    <t>Lutalyse 30ml Bot.</t>
  </si>
  <si>
    <t>Muscle Keep 20s</t>
  </si>
  <si>
    <t>MYLORA240</t>
  </si>
  <si>
    <t>Combinex BIG 150ml</t>
  </si>
  <si>
    <t>Dextrose 300g</t>
  </si>
  <si>
    <t>MYLORA052</t>
  </si>
  <si>
    <t>Doxa-V PCs</t>
  </si>
  <si>
    <t>(NOT ACTIVE)Dragon Driver 5ml</t>
  </si>
  <si>
    <t>Electrogen D+ 6g</t>
  </si>
  <si>
    <t>MYLORA073</t>
  </si>
  <si>
    <t>Latigo 1000 5g Box</t>
  </si>
  <si>
    <t>L-Spec 100ml</t>
  </si>
  <si>
    <t>IN-002-0000000076</t>
  </si>
  <si>
    <t>Ganador 10kg Pack</t>
  </si>
  <si>
    <t>Bayong</t>
  </si>
  <si>
    <t>Door Lock</t>
  </si>
  <si>
    <t>likit</t>
  </si>
  <si>
    <t>Syringe 1ml</t>
  </si>
  <si>
    <t>Tie Cord Short</t>
  </si>
  <si>
    <t>waterer 1/4 gal.</t>
  </si>
  <si>
    <t>Bingo Puppy kilo</t>
  </si>
  <si>
    <t>MYLORA405</t>
  </si>
  <si>
    <t>PET ONE PRO ACTIVO HI-PRO 20KG KILO</t>
  </si>
  <si>
    <t>MYLORA204</t>
  </si>
  <si>
    <t>PROMIX Aves 35 Bag</t>
  </si>
  <si>
    <t>Mylora crack corn kilo</t>
  </si>
  <si>
    <t>WB 14 Kinds Complete Ration Kilo</t>
  </si>
  <si>
    <t>EGG medium pcs</t>
  </si>
  <si>
    <t>Mais GC #16 (bag)</t>
  </si>
  <si>
    <t>MYLORA PREMIUM CARD</t>
  </si>
  <si>
    <t>Ambroxitil  5g 48s pcs</t>
  </si>
  <si>
    <t>MYLORA016</t>
  </si>
  <si>
    <t>Apralyte 6g 48s Box</t>
  </si>
  <si>
    <t>B12 LDI (tab)</t>
  </si>
  <si>
    <t>Belamyl 10ml</t>
  </si>
  <si>
    <t>PROMIX HOG Piglet Booster PLUS (10KGS)KILO</t>
  </si>
  <si>
    <t>NF1 (tab)</t>
  </si>
  <si>
    <t>Rose Gold Yellow 50kg Bag</t>
  </si>
  <si>
    <t>Sack(s)</t>
  </si>
  <si>
    <t>IN-002-0000000040</t>
  </si>
  <si>
    <t>MYLORA360</t>
  </si>
  <si>
    <t>PROMIX Quail layer crumble 50kg Bag</t>
  </si>
  <si>
    <t>Pork O Milk 300g packs</t>
  </si>
  <si>
    <t>L-spec (per 1ml)</t>
  </si>
  <si>
    <t>Service(s)</t>
  </si>
  <si>
    <t>Electrogen D+ 20g</t>
  </si>
  <si>
    <t>Dextrolyte 100ml TSM</t>
  </si>
  <si>
    <t>MYLORA051</t>
  </si>
  <si>
    <t>Doxa-V Box</t>
  </si>
  <si>
    <t>MYLORA057</t>
  </si>
  <si>
    <t>Doxylak Tab Box</t>
  </si>
  <si>
    <t>MYLORA424</t>
  </si>
  <si>
    <t>Jectran premium 20ml</t>
  </si>
  <si>
    <t>MYLORA370</t>
  </si>
  <si>
    <t>Lutalyse per ml</t>
  </si>
  <si>
    <t>Promotor (tab)</t>
  </si>
  <si>
    <t>Streptopen v 25g powder</t>
  </si>
  <si>
    <t>MYLORA065</t>
  </si>
  <si>
    <t>Elec-V Box</t>
  </si>
  <si>
    <t>MYLORA192</t>
  </si>
  <si>
    <t>Wash Out (box)</t>
  </si>
  <si>
    <t>MYLORA195</t>
  </si>
  <si>
    <t>Wormal (box)</t>
  </si>
  <si>
    <t>MYLORA327</t>
  </si>
  <si>
    <t>Dextrolyte 100ml</t>
  </si>
  <si>
    <t>MYLORA147</t>
  </si>
  <si>
    <t>Red Gel Forte Box</t>
  </si>
  <si>
    <t>IN-002-0000000603</t>
  </si>
  <si>
    <t>MYLORA066</t>
  </si>
  <si>
    <t>Elec-V Pcs</t>
  </si>
  <si>
    <t>MYLORA190</t>
  </si>
  <si>
    <t>Voltplex (tab) 100s</t>
  </si>
  <si>
    <t>MYLORA004</t>
  </si>
  <si>
    <t>Agmectin 2g Box</t>
  </si>
  <si>
    <t>IN-002-0000001595</t>
  </si>
  <si>
    <t>MYLORA376</t>
  </si>
  <si>
    <t>Crack Corn 25kgs Bag</t>
  </si>
  <si>
    <t>Ganador 5kg Pack</t>
  </si>
  <si>
    <t>Sulpar QR 5g 50s box</t>
  </si>
  <si>
    <t>IN-002-0000002166</t>
  </si>
  <si>
    <t>Pollard soft URC 40kg bag</t>
  </si>
  <si>
    <t>IN-002-0000001735</t>
  </si>
  <si>
    <t>MYLORA171</t>
  </si>
  <si>
    <t>Triple X Shampoo Pcs</t>
  </si>
  <si>
    <t>Th. Baby Stag Booster (case)</t>
  </si>
  <si>
    <t>Th. Stag Developer 4+ (case)</t>
  </si>
  <si>
    <t>Th. Baby Stag Booster (repack)</t>
  </si>
  <si>
    <t>IN-002-0000003154</t>
  </si>
  <si>
    <t>MYLORA092</t>
  </si>
  <si>
    <t>NF1 100s Box</t>
  </si>
  <si>
    <t>MYLORA120</t>
  </si>
  <si>
    <t>Premoxil Tab Box</t>
  </si>
  <si>
    <t xml:space="preserve">Ketoprocin (Ketoprofen) 100ml BOTTLE </t>
  </si>
  <si>
    <t>Mothyl X 50pcs</t>
  </si>
  <si>
    <t>PROMIX BROILER Booster Crumble ADV Kilo</t>
  </si>
  <si>
    <t>EGG SM/ pc</t>
  </si>
  <si>
    <t>Daily Maintenance - RM kilo</t>
  </si>
  <si>
    <t>L-Spec 10ml</t>
  </si>
  <si>
    <t>PROMIX Calibre Hog Lacta kilos</t>
  </si>
  <si>
    <t>Promix pre-starter kilo</t>
  </si>
  <si>
    <t>IN-002-0000000123</t>
  </si>
  <si>
    <t>MYLORA228</t>
  </si>
  <si>
    <t>Amtyl 500g 100s pcs</t>
  </si>
  <si>
    <t>Vetracin Ultima 6g</t>
  </si>
  <si>
    <t>IN-002-0000000041</t>
  </si>
  <si>
    <t>AMOXIL-V PCS</t>
  </si>
  <si>
    <t>Reload Max 15ml</t>
  </si>
  <si>
    <t>MYLORA060</t>
  </si>
  <si>
    <t>Egg 1000 20g Box</t>
  </si>
  <si>
    <t>Vitmin Pro 20g  20S*</t>
  </si>
  <si>
    <t>MYLORA015</t>
  </si>
  <si>
    <t>Amtyl 500g 100s Box</t>
  </si>
  <si>
    <t>Vetracin Gold Cap. (Box)</t>
  </si>
  <si>
    <t>vetracin Gold 5g+Prebiotics 48s box</t>
  </si>
  <si>
    <t>IN-002-0000002467</t>
  </si>
  <si>
    <t>MYLORA061</t>
  </si>
  <si>
    <t>El Toro Box</t>
  </si>
  <si>
    <t>IN-002-0000000108</t>
  </si>
  <si>
    <t>MYLORA023</t>
  </si>
  <si>
    <t>B50 200s Box</t>
  </si>
  <si>
    <t>MYLORA199</t>
  </si>
  <si>
    <t>Th. Stag Developer 4+ (repack)</t>
  </si>
  <si>
    <t>IN-002-0000005076</t>
  </si>
  <si>
    <t>Promix Layer Crumble 2 Calibre kilo</t>
  </si>
  <si>
    <t>IN-002-0000000812</t>
  </si>
  <si>
    <t>Parid Pour-on 50ml</t>
  </si>
  <si>
    <t>IN-002-0000004028</t>
  </si>
  <si>
    <t>Lion ivory 10kg (5s) CASE</t>
  </si>
  <si>
    <t>MYLORA026</t>
  </si>
  <si>
    <t>Bee Pollen Box</t>
  </si>
  <si>
    <t>WB 7kinds Concentrate/conditioner (50 kgs) kilo</t>
  </si>
  <si>
    <t>PROMIX Aves 20 Pellets 50kg kilo</t>
  </si>
  <si>
    <t>PROMIX Aves 10 kilo</t>
  </si>
  <si>
    <t>PROMIX Calibre Hog Gesta (50kgs) bag</t>
  </si>
  <si>
    <t>EGG XL/pc</t>
  </si>
  <si>
    <t>MYLORA083</t>
  </si>
  <si>
    <t>Major D 20ml pc</t>
  </si>
  <si>
    <t>Mylora crack corn bag</t>
  </si>
  <si>
    <t>PROMIX Aves 40 (kilo)</t>
  </si>
  <si>
    <t>Egg Medium</t>
  </si>
  <si>
    <t>PROMIX HOG Finisher PLUS Kilo</t>
  </si>
  <si>
    <t>PROMIX HOG Grower PLUS Kilo</t>
  </si>
  <si>
    <t>MYLORA349</t>
  </si>
  <si>
    <t>PROMIX HOG Piglet Booster PLUS(1x20kgs)  Bag</t>
  </si>
  <si>
    <t>PROMIX HOG Starter PLUS Kilo</t>
  </si>
  <si>
    <t>PROMIX PDP 4mm ADV Kilo</t>
  </si>
  <si>
    <t>MYLORA145</t>
  </si>
  <si>
    <t>Red Cell 50 ml</t>
  </si>
  <si>
    <t>MYLORA151</t>
  </si>
  <si>
    <t>SMP 500 12s Box</t>
  </si>
  <si>
    <t>Texas Combat 50s BOX</t>
  </si>
  <si>
    <t>Tripulac (Pigdoser)</t>
  </si>
  <si>
    <t>Valbazen 30ml</t>
  </si>
  <si>
    <t>MYLORA180</t>
  </si>
  <si>
    <t>Vetracin Gold 5g+prebiotics New 50s Box</t>
  </si>
  <si>
    <t>Vetracin Premium 5g</t>
  </si>
  <si>
    <t>Vitmin pro 1kg*</t>
  </si>
  <si>
    <t>Container(s)</t>
  </si>
  <si>
    <t>MYLORA243</t>
  </si>
  <si>
    <t>Wormal (tab)</t>
  </si>
  <si>
    <t>Rose Gold Blue 50kgs Bag</t>
  </si>
  <si>
    <t>IN-002-0000000036</t>
  </si>
  <si>
    <t>Rose Gold Blue 50kg Kilo</t>
  </si>
  <si>
    <t>IN-002-0000000067</t>
  </si>
  <si>
    <t>MYLORA346</t>
  </si>
  <si>
    <t>Denorado Lami 50kg Kilo</t>
  </si>
  <si>
    <t>Dextrose 100g</t>
  </si>
  <si>
    <t>IN-002-0000000170</t>
  </si>
  <si>
    <t>Palawan Rice 50kg kilo new</t>
  </si>
  <si>
    <t>MYLORA153</t>
  </si>
  <si>
    <t>Spectromax 10ml</t>
  </si>
  <si>
    <t>Cecical 200g BOX</t>
  </si>
  <si>
    <t>IN-002-0000000525</t>
  </si>
  <si>
    <t>Vetracin Gold (cap)</t>
  </si>
  <si>
    <t>TH. Platinum (repack)</t>
  </si>
  <si>
    <t>IN-002-0000001272</t>
  </si>
  <si>
    <t>MYLORA041</t>
  </si>
  <si>
    <t>Calvex Tab Box</t>
  </si>
  <si>
    <t>IN-002-0000001019</t>
  </si>
  <si>
    <t>Lion Ivory 25kg Bag</t>
  </si>
  <si>
    <t>IN-002-0000003323</t>
  </si>
  <si>
    <t>Whiskas Catfood (7kgs)*</t>
  </si>
  <si>
    <t>MYLORA115</t>
  </si>
  <si>
    <t>Penstrep 10dose</t>
  </si>
  <si>
    <t>Dragon Driver 5ml</t>
  </si>
  <si>
    <t>True grit</t>
  </si>
  <si>
    <t>MYLORA420</t>
  </si>
  <si>
    <t>PROMIX PDP 3mm ADV (50kgs) Bag</t>
  </si>
  <si>
    <t>PROMIX Hog Lactating Plus kilo</t>
  </si>
  <si>
    <t>MYLORA263</t>
  </si>
  <si>
    <t>Th. Platinum (case)</t>
  </si>
  <si>
    <t>IN-002-0000002370</t>
  </si>
  <si>
    <t>Sulpar tab 100s pcs</t>
  </si>
  <si>
    <t>MYLORA340</t>
  </si>
  <si>
    <t>Copyrine 10 ml</t>
  </si>
  <si>
    <t>IN-002-0000003519</t>
  </si>
  <si>
    <t>MYLORA118</t>
  </si>
  <si>
    <t>Premoxil 1kg Jar</t>
  </si>
  <si>
    <t>PROMIX Hog Gestating Plus kilo</t>
  </si>
  <si>
    <t>Ceftiofur 100ml Bottle</t>
  </si>
  <si>
    <t>Beejet Inj.100ml BOTTLE</t>
  </si>
  <si>
    <t>RELEFE REMIX 1KG</t>
  </si>
  <si>
    <t>Mais GC #14 (bag)</t>
  </si>
  <si>
    <t>Egg 1000 1KG</t>
  </si>
  <si>
    <t>IN-002-0000002524</t>
  </si>
  <si>
    <t>El toro tab</t>
  </si>
  <si>
    <t>IN-002-0000004792</t>
  </si>
  <si>
    <t>TRISULAK 3A TAB 100S box</t>
  </si>
  <si>
    <t>IN-002-0000004668</t>
  </si>
  <si>
    <t>MYLORA318</t>
  </si>
  <si>
    <t>Sprayer</t>
  </si>
  <si>
    <t>IN-002-0000005738</t>
  </si>
  <si>
    <t>Vetracin Ultima 6g 50s</t>
  </si>
  <si>
    <t>MYLORA002</t>
  </si>
  <si>
    <t>Latigo 1000 10g Box</t>
  </si>
  <si>
    <t>MYLORA244</t>
  </si>
  <si>
    <t>gloves likos(garter)</t>
  </si>
  <si>
    <t>MYLORA024</t>
  </si>
  <si>
    <t>Bastonero  Plus  5g Box</t>
  </si>
  <si>
    <t>jectran premium 100ml</t>
  </si>
  <si>
    <t>MYLORA037</t>
  </si>
  <si>
    <t>Bulatigok SD Box</t>
  </si>
  <si>
    <t>Raptor Tab 100s BOX</t>
  </si>
  <si>
    <t>IN-002-0000001830</t>
  </si>
  <si>
    <t>MYLORA021</t>
  </si>
  <si>
    <t>B12 LDI Box</t>
  </si>
  <si>
    <t>Reload Max 5ml</t>
  </si>
  <si>
    <t>(NOT ACTIVE)PROMIX Pigeon Brown Adv. Kilo</t>
  </si>
  <si>
    <t>IN-002-0000000766</t>
  </si>
  <si>
    <t>MYLORA385</t>
  </si>
  <si>
    <t>Excellent Rice 50kg Bag</t>
  </si>
  <si>
    <t>Vitamin B-Complex (TSM)</t>
  </si>
  <si>
    <t>VETS ENRO BX 1 LITER</t>
  </si>
  <si>
    <t>Denorado Lami 5kg Pack</t>
  </si>
  <si>
    <t>IN-002-0000000018</t>
  </si>
  <si>
    <t>MYLORA312</t>
  </si>
  <si>
    <t>Aqua grower (25kgs) bag</t>
  </si>
  <si>
    <t>MYLORA175</t>
  </si>
  <si>
    <t>Vetracin Classic 50s Box</t>
  </si>
  <si>
    <t>Pramectin 100s Box</t>
  </si>
  <si>
    <t>PROMIX Quail Layer Crumble 50kg kilo</t>
  </si>
  <si>
    <t>Heads and tails 250ml</t>
  </si>
  <si>
    <t>MYLORA167</t>
  </si>
  <si>
    <t>TRIFAST TAB 100</t>
  </si>
  <si>
    <t>PROMIX PIGEON Red ADV (50kgs) Bag</t>
  </si>
  <si>
    <t>PROMIX Calibre Hog Starter kilo</t>
  </si>
  <si>
    <t>Thyrolac 50g pcs</t>
  </si>
  <si>
    <t>MYLORA045</t>
  </si>
  <si>
    <t>Ct William Bot 60s</t>
  </si>
  <si>
    <t>MYLORA423</t>
  </si>
  <si>
    <t>Iron D 100ml</t>
  </si>
  <si>
    <t>Calfosvet 1L</t>
  </si>
  <si>
    <t>IMMUNO BOOST LIQUID 1 LITER</t>
  </si>
  <si>
    <t>IN-002-0000001020</t>
  </si>
  <si>
    <t>MYLORA378</t>
  </si>
  <si>
    <t>MAIS GC 14 (kilo)</t>
  </si>
  <si>
    <t>Lion Ivory 10kg Pack</t>
  </si>
  <si>
    <t>MYLORA155</t>
  </si>
  <si>
    <t>Syringe 1mlx100s Box</t>
  </si>
  <si>
    <t>IN-002-0000001381</t>
  </si>
  <si>
    <t>Promix Layer Crumble 1 Calibre BAG</t>
  </si>
  <si>
    <t>Raptor Tab 100s Pcs</t>
  </si>
  <si>
    <t>IN-002-0000001956</t>
  </si>
  <si>
    <t>Promix Layer Crumble 1 Calibre kilo</t>
  </si>
  <si>
    <t>Th. Enertone 24kg CASE</t>
  </si>
  <si>
    <t>Th. Enertone (repack)</t>
  </si>
  <si>
    <t>IN-002-0000003019</t>
  </si>
  <si>
    <t>PROMIX Aves 25 BAG</t>
  </si>
  <si>
    <t>IN-002-0000003152</t>
  </si>
  <si>
    <t>Promix Layer Crumble 2 Calibre BAG</t>
  </si>
  <si>
    <t>MYLORA055</t>
  </si>
  <si>
    <t>Doxylak 7g powder Box</t>
  </si>
  <si>
    <t>Trisulak  7gx48s Box</t>
  </si>
  <si>
    <t>IN-002-0000001856</t>
  </si>
  <si>
    <t>Vitmin pro tab 100s</t>
  </si>
  <si>
    <t>Hammer cap</t>
  </si>
  <si>
    <t>Premoxil pow. 5g</t>
  </si>
  <si>
    <t>MYLORA338</t>
  </si>
  <si>
    <t>Bexan XP (tab) pcs</t>
  </si>
  <si>
    <t>CT William</t>
  </si>
  <si>
    <t>Hammer Suspension 6ml</t>
  </si>
  <si>
    <t>MYLORA169</t>
  </si>
  <si>
    <t>Trimax PCs</t>
  </si>
  <si>
    <t>Alinatur Energy 20kgs (kilo)</t>
  </si>
  <si>
    <t>MYLORA019</t>
  </si>
  <si>
    <t>Astig tab</t>
  </si>
  <si>
    <t>Bastonero plus</t>
  </si>
  <si>
    <t>MYLORA038</t>
  </si>
  <si>
    <t>Bulatigok SD PCs</t>
  </si>
  <si>
    <t>IN-002-0000000580</t>
  </si>
  <si>
    <t>multi-v 6g 24s (pcs)</t>
  </si>
  <si>
    <t>MYLORA146</t>
  </si>
  <si>
    <t>Red Gel Forte (tab)</t>
  </si>
  <si>
    <t>Multilyte 22g</t>
  </si>
  <si>
    <t>Bexan XP 20ml</t>
  </si>
  <si>
    <t>Mite free 10ml</t>
  </si>
  <si>
    <t>T2S 5g Powder 24s</t>
  </si>
  <si>
    <t>IN-002-0000000113</t>
  </si>
  <si>
    <t>B50 (tab)</t>
  </si>
  <si>
    <t>IN-002-0000000259</t>
  </si>
  <si>
    <t>SMP 500 12s</t>
  </si>
  <si>
    <t>CLOUD INVENTORY AS OF 5/29/2025</t>
  </si>
  <si>
    <t>Item Code</t>
  </si>
  <si>
    <t>PARA V 6GRMSX24'S</t>
  </si>
  <si>
    <t>Raptor Tab 100's BOX</t>
  </si>
  <si>
    <t>Trisulak  7gx48's Box</t>
  </si>
  <si>
    <t>V22 100's Bottle</t>
  </si>
  <si>
    <t>Vitmin Pro 20g  20'S*</t>
  </si>
  <si>
    <t>Vitmin Pro tab 100's * box</t>
  </si>
  <si>
    <t>Voltplex (tab) 100's</t>
  </si>
  <si>
    <t>POS INVENTORY AS OF 5/29/2025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</si>
</sst>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3" borderId="0" xfId="0" applyFill="1" applyAlignment="1">
      <alignment horizontal="center"/>
    </xf>
    <xf numFmtId="0" fontId="17" fillId="34" borderId="0" xfId="0" applyFont="1" applyFill="1" applyAlignment="1">
      <alignment horizontal="center"/>
    </xf>
    <xf numFmtId="0" fontId="17" fillId="34" borderId="0" xfId="0" applyFont="1" applyFill="1"/>
    <xf numFmtId="0" fontId="17" fillId="0" borderId="0" xfId="0" applyFont="1"/>
    <xf numFmtId="0" fontId="0" fillId="35" borderId="0" xfId="0" applyFill="1" applyAlignment="1">
      <alignment horizontal="center"/>
    </xf>
    <xf numFmtId="0" fontId="17" fillId="0" borderId="0" xfId="0" applyFont="1" applyAlignment="1">
      <alignment horizontal="center"/>
    </xf>
    <xf numFmtId="0" fontId="18" fillId="0" borderId="10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A8422-60B5-4C66-B95A-E5EB685B3C83}">
  <dimension ref="A1:Q371"/>
  <sheetViews>
    <sheetView tabSelected="1" topLeftCell="B1" zoomScale="90" zoomScaleNormal="90" workbookViewId="0">
      <selection activeCell="L18" sqref="L18"/>
    </sheetView>
  </sheetViews>
  <sheetFormatPr defaultRowHeight="15" x14ac:dyDescent="0.25"/>
  <cols>
    <col min="1" max="1" width="18.5703125" hidden="1" customWidth="1"/>
    <col min="2" max="2" width="17.85546875" style="1" customWidth="1"/>
    <col min="3" max="3" width="51.140625" bestFit="1" customWidth="1"/>
    <col min="4" max="4" width="12" bestFit="1" customWidth="1"/>
    <col min="5" max="5" width="18.28515625" style="1" bestFit="1" customWidth="1"/>
    <col min="6" max="6" width="10.85546875" style="1" hidden="1" customWidth="1"/>
    <col min="7" max="7" width="12.42578125" style="1" hidden="1" customWidth="1"/>
    <col min="8" max="8" width="15.28515625" style="1" bestFit="1" customWidth="1"/>
    <col min="10" max="10" width="12.140625" hidden="1" customWidth="1"/>
    <col min="11" max="11" width="15.7109375" bestFit="1" customWidth="1"/>
    <col min="12" max="12" width="51.140625" bestFit="1" customWidth="1"/>
    <col min="13" max="13" width="12" bestFit="1" customWidth="1"/>
    <col min="14" max="14" width="18.28515625" style="1" bestFit="1" customWidth="1"/>
    <col min="15" max="15" width="11" style="1" hidden="1" customWidth="1"/>
    <col min="16" max="16" width="12.42578125" style="1" hidden="1" customWidth="1"/>
    <col min="17" max="17" width="15.28515625" style="1" bestFit="1" customWidth="1"/>
  </cols>
  <sheetData>
    <row r="1" spans="1:17" ht="24.95" customHeight="1" x14ac:dyDescent="0.25">
      <c r="A1" s="10" t="s">
        <v>595</v>
      </c>
      <c r="B1" s="10"/>
      <c r="C1" s="10"/>
      <c r="D1" s="10"/>
      <c r="E1" s="10"/>
      <c r="F1" s="10"/>
      <c r="G1" s="10"/>
      <c r="H1" s="10"/>
      <c r="J1" s="10" t="s">
        <v>604</v>
      </c>
      <c r="K1" s="10"/>
      <c r="L1" s="10"/>
      <c r="M1" s="10"/>
      <c r="N1" s="10"/>
      <c r="O1" s="10"/>
      <c r="P1" s="10"/>
      <c r="Q1" s="10"/>
    </row>
    <row r="2" spans="1:17" s="1" customFormat="1" x14ac:dyDescent="0.25">
      <c r="A2" s="2" t="s">
        <v>0</v>
      </c>
      <c r="B2" s="2" t="s">
        <v>1</v>
      </c>
      <c r="C2" s="2" t="s">
        <v>2</v>
      </c>
      <c r="D2" s="2" t="s">
        <v>7</v>
      </c>
      <c r="E2" s="2" t="s">
        <v>3</v>
      </c>
      <c r="F2" s="2" t="s">
        <v>4</v>
      </c>
      <c r="G2" s="2" t="s">
        <v>5</v>
      </c>
      <c r="H2" s="3" t="s">
        <v>6</v>
      </c>
      <c r="J2" s="2" t="s">
        <v>596</v>
      </c>
      <c r="K2" s="2" t="s">
        <v>1</v>
      </c>
      <c r="L2" s="2" t="s">
        <v>2</v>
      </c>
      <c r="M2" s="2" t="s">
        <v>7</v>
      </c>
      <c r="N2" s="2" t="s">
        <v>3</v>
      </c>
      <c r="O2" s="2" t="s">
        <v>4</v>
      </c>
      <c r="P2" s="2" t="s">
        <v>5</v>
      </c>
      <c r="Q2" s="3" t="s">
        <v>6</v>
      </c>
    </row>
    <row r="3" spans="1:17" hidden="1" x14ac:dyDescent="0.25">
      <c r="A3" t="s">
        <v>8</v>
      </c>
      <c r="B3" s="5">
        <v>923</v>
      </c>
      <c r="C3" s="6" t="s">
        <v>301</v>
      </c>
      <c r="D3" s="5" t="s">
        <v>16</v>
      </c>
      <c r="E3" s="5">
        <v>0</v>
      </c>
      <c r="F3" s="5">
        <v>0</v>
      </c>
      <c r="G3" s="5">
        <v>0</v>
      </c>
      <c r="H3" s="5">
        <v>0</v>
      </c>
      <c r="J3" t="str">
        <f>"0000000689"</f>
        <v>0000000689</v>
      </c>
      <c r="K3" s="6" t="str">
        <f>"822"</f>
        <v>822</v>
      </c>
      <c r="L3" s="6" t="s">
        <v>204</v>
      </c>
      <c r="M3" s="6" t="s">
        <v>39</v>
      </c>
      <c r="N3" s="5">
        <v>0</v>
      </c>
      <c r="O3" s="5">
        <v>0</v>
      </c>
      <c r="P3" s="5">
        <v>0</v>
      </c>
      <c r="Q3" s="5">
        <v>0</v>
      </c>
    </row>
    <row r="4" spans="1:17" hidden="1" x14ac:dyDescent="0.25">
      <c r="A4" t="s">
        <v>8</v>
      </c>
      <c r="B4" s="5">
        <v>822</v>
      </c>
      <c r="C4" s="6" t="s">
        <v>204</v>
      </c>
      <c r="D4" s="5" t="s">
        <v>39</v>
      </c>
      <c r="E4" s="5">
        <v>0</v>
      </c>
      <c r="F4" s="5">
        <v>0</v>
      </c>
      <c r="G4" s="5">
        <v>0</v>
      </c>
      <c r="H4" s="5">
        <v>0</v>
      </c>
      <c r="J4" t="str">
        <f>"0000000248"</f>
        <v>0000000248</v>
      </c>
      <c r="K4" s="7"/>
      <c r="L4" s="7"/>
      <c r="M4" s="7"/>
      <c r="N4" s="9"/>
      <c r="O4" s="9"/>
      <c r="P4" s="9"/>
      <c r="Q4" s="9"/>
    </row>
    <row r="5" spans="1:17" hidden="1" x14ac:dyDescent="0.25">
      <c r="A5" t="s">
        <v>8</v>
      </c>
      <c r="B5" s="5">
        <v>648</v>
      </c>
      <c r="C5" s="6" t="s">
        <v>229</v>
      </c>
      <c r="D5" s="5" t="s">
        <v>16</v>
      </c>
      <c r="E5" s="5">
        <v>0</v>
      </c>
      <c r="F5" s="5">
        <v>0</v>
      </c>
      <c r="G5" s="5">
        <v>0</v>
      </c>
      <c r="H5" s="5">
        <v>0</v>
      </c>
      <c r="J5" t="str">
        <f>"0000000754"</f>
        <v>0000000754</v>
      </c>
      <c r="K5" s="7"/>
      <c r="L5" s="7"/>
      <c r="M5" s="7"/>
      <c r="N5" s="9"/>
      <c r="O5" s="9"/>
      <c r="P5" s="9"/>
      <c r="Q5" s="9"/>
    </row>
    <row r="6" spans="1:17" hidden="1" x14ac:dyDescent="0.25">
      <c r="A6" t="s">
        <v>8</v>
      </c>
      <c r="B6" s="5">
        <v>692</v>
      </c>
      <c r="C6" s="6" t="s">
        <v>218</v>
      </c>
      <c r="D6" s="5" t="s">
        <v>16</v>
      </c>
      <c r="E6" s="5">
        <v>0</v>
      </c>
      <c r="F6" s="5">
        <v>0</v>
      </c>
      <c r="G6" s="5">
        <v>0</v>
      </c>
      <c r="H6" s="5">
        <v>0</v>
      </c>
      <c r="J6" t="str">
        <f>"0000000186"</f>
        <v>0000000186</v>
      </c>
      <c r="K6" s="7"/>
      <c r="L6" s="7"/>
      <c r="M6" s="7"/>
      <c r="N6" s="9"/>
      <c r="O6" s="9"/>
      <c r="P6" s="9"/>
      <c r="Q6" s="9"/>
    </row>
    <row r="7" spans="1:17" hidden="1" x14ac:dyDescent="0.25">
      <c r="A7" t="s">
        <v>8</v>
      </c>
      <c r="B7" s="5">
        <v>695</v>
      </c>
      <c r="C7" s="6" t="s">
        <v>521</v>
      </c>
      <c r="D7" s="5" t="s">
        <v>16</v>
      </c>
      <c r="E7" s="5">
        <v>0</v>
      </c>
      <c r="F7" s="5">
        <v>0</v>
      </c>
      <c r="G7" s="5">
        <v>0</v>
      </c>
      <c r="H7" s="5">
        <v>0</v>
      </c>
      <c r="J7" t="str">
        <f>"0000000313"</f>
        <v>0000000313</v>
      </c>
      <c r="K7" s="7"/>
      <c r="L7" s="7"/>
      <c r="M7" s="7"/>
      <c r="N7" s="9"/>
      <c r="O7" s="9"/>
      <c r="P7" s="9"/>
      <c r="Q7" s="9"/>
    </row>
    <row r="8" spans="1:17" x14ac:dyDescent="0.25">
      <c r="A8" t="s">
        <v>8</v>
      </c>
      <c r="B8" s="1" t="s">
        <v>205</v>
      </c>
      <c r="C8" t="s">
        <v>206</v>
      </c>
      <c r="D8" s="1" t="s">
        <v>16</v>
      </c>
      <c r="E8" s="1">
        <v>0</v>
      </c>
      <c r="F8" s="1">
        <v>0</v>
      </c>
      <c r="G8" s="1">
        <v>0</v>
      </c>
      <c r="H8" s="4">
        <v>0</v>
      </c>
      <c r="J8" t="str">
        <f>"0000000185"</f>
        <v>0000000185</v>
      </c>
      <c r="K8" t="str">
        <f>"MYLORA283"</f>
        <v>MYLORA283</v>
      </c>
      <c r="L8" t="s">
        <v>206</v>
      </c>
      <c r="M8" t="s">
        <v>16</v>
      </c>
      <c r="N8" s="1">
        <v>0</v>
      </c>
      <c r="O8" s="1">
        <v>0</v>
      </c>
      <c r="P8" s="1">
        <v>0</v>
      </c>
      <c r="Q8" s="4">
        <v>0</v>
      </c>
    </row>
    <row r="9" spans="1:17" x14ac:dyDescent="0.25">
      <c r="A9" t="s">
        <v>112</v>
      </c>
      <c r="B9" s="1">
        <v>1567</v>
      </c>
      <c r="C9" t="s">
        <v>113</v>
      </c>
      <c r="D9" s="1" t="s">
        <v>51</v>
      </c>
      <c r="E9" s="1">
        <v>15</v>
      </c>
      <c r="F9" s="1">
        <v>0</v>
      </c>
      <c r="G9" s="1">
        <v>0</v>
      </c>
      <c r="H9" s="4">
        <v>15</v>
      </c>
      <c r="J9" t="str">
        <f>"0000000314"</f>
        <v>0000000314</v>
      </c>
      <c r="K9" t="str">
        <f>"0000001567"</f>
        <v>0000001567</v>
      </c>
      <c r="L9" t="s">
        <v>113</v>
      </c>
      <c r="M9" t="s">
        <v>51</v>
      </c>
      <c r="N9" s="1">
        <v>15</v>
      </c>
      <c r="O9" s="1">
        <v>0</v>
      </c>
      <c r="P9" s="1">
        <v>0</v>
      </c>
      <c r="Q9" s="4">
        <v>15</v>
      </c>
    </row>
    <row r="10" spans="1:17" x14ac:dyDescent="0.25">
      <c r="A10" t="s">
        <v>8</v>
      </c>
      <c r="B10" s="1">
        <v>4806524150032</v>
      </c>
      <c r="C10" t="s">
        <v>281</v>
      </c>
      <c r="D10" s="1" t="s">
        <v>16</v>
      </c>
      <c r="E10" s="1">
        <v>12</v>
      </c>
      <c r="F10" s="1">
        <v>0</v>
      </c>
      <c r="G10" s="1">
        <v>0</v>
      </c>
      <c r="H10" s="8">
        <v>12</v>
      </c>
      <c r="J10" t="str">
        <f>"0000000399"</f>
        <v>0000000399</v>
      </c>
      <c r="K10" t="str">
        <f>"4806524150032"</f>
        <v>4806524150032</v>
      </c>
      <c r="L10" t="s">
        <v>281</v>
      </c>
      <c r="M10" t="s">
        <v>16</v>
      </c>
      <c r="N10" s="1">
        <v>13</v>
      </c>
      <c r="O10" s="1">
        <v>0</v>
      </c>
      <c r="P10" s="1">
        <v>0</v>
      </c>
      <c r="Q10" s="8">
        <v>13</v>
      </c>
    </row>
    <row r="11" spans="1:17" x14ac:dyDescent="0.25">
      <c r="A11" t="s">
        <v>251</v>
      </c>
      <c r="B11" s="1" t="s">
        <v>366</v>
      </c>
      <c r="C11" t="s">
        <v>367</v>
      </c>
      <c r="D11" s="1" t="s">
        <v>20</v>
      </c>
      <c r="E11" s="1">
        <v>4</v>
      </c>
      <c r="F11" s="1">
        <v>0</v>
      </c>
      <c r="G11" s="1">
        <v>0</v>
      </c>
      <c r="H11" s="8">
        <v>4</v>
      </c>
      <c r="J11" t="str">
        <f>"0000000319"</f>
        <v>0000000319</v>
      </c>
      <c r="K11" t="str">
        <f>"MYLORA004"</f>
        <v>MYLORA004</v>
      </c>
      <c r="L11" t="s">
        <v>367</v>
      </c>
      <c r="M11" t="s">
        <v>20</v>
      </c>
      <c r="N11" s="1">
        <v>2</v>
      </c>
      <c r="O11" s="1">
        <v>0</v>
      </c>
      <c r="P11" s="1">
        <v>0</v>
      </c>
      <c r="Q11" s="8">
        <v>2</v>
      </c>
    </row>
    <row r="12" spans="1:17" x14ac:dyDescent="0.25">
      <c r="A12" t="s">
        <v>8</v>
      </c>
      <c r="B12" s="1">
        <v>4806524150049</v>
      </c>
      <c r="C12" t="s">
        <v>172</v>
      </c>
      <c r="D12" s="1" t="s">
        <v>16</v>
      </c>
      <c r="E12" s="1">
        <v>14</v>
      </c>
      <c r="F12" s="1">
        <v>0</v>
      </c>
      <c r="G12" s="1">
        <v>0</v>
      </c>
      <c r="H12" s="8">
        <v>14</v>
      </c>
      <c r="J12" t="str">
        <f>"0000000061"</f>
        <v>0000000061</v>
      </c>
      <c r="K12" t="str">
        <f>"4806524150049"</f>
        <v>4806524150049</v>
      </c>
      <c r="L12" t="s">
        <v>172</v>
      </c>
      <c r="M12" t="s">
        <v>16</v>
      </c>
      <c r="N12" s="1">
        <v>9</v>
      </c>
      <c r="O12" s="1">
        <v>0</v>
      </c>
      <c r="P12" s="1">
        <v>0</v>
      </c>
      <c r="Q12" s="8">
        <v>9</v>
      </c>
    </row>
    <row r="13" spans="1:17" x14ac:dyDescent="0.25">
      <c r="A13" t="s">
        <v>8</v>
      </c>
      <c r="B13" s="1" t="s">
        <v>232</v>
      </c>
      <c r="C13" t="s">
        <v>233</v>
      </c>
      <c r="D13" s="1" t="s">
        <v>20</v>
      </c>
      <c r="E13" s="1">
        <v>2</v>
      </c>
      <c r="F13" s="1">
        <v>0</v>
      </c>
      <c r="G13" s="1">
        <v>0</v>
      </c>
      <c r="H13" s="4">
        <v>2</v>
      </c>
      <c r="J13" t="str">
        <f>"0000000318"</f>
        <v>0000000318</v>
      </c>
      <c r="K13" t="str">
        <f>"MYLORA005"</f>
        <v>MYLORA005</v>
      </c>
      <c r="L13" t="s">
        <v>233</v>
      </c>
      <c r="M13" t="s">
        <v>20</v>
      </c>
      <c r="N13" s="1">
        <v>2</v>
      </c>
      <c r="O13" s="1">
        <v>0</v>
      </c>
      <c r="P13" s="1">
        <v>0</v>
      </c>
      <c r="Q13" s="4">
        <v>2</v>
      </c>
    </row>
    <row r="14" spans="1:17" x14ac:dyDescent="0.25">
      <c r="A14" t="s">
        <v>8</v>
      </c>
      <c r="B14" s="1">
        <v>724</v>
      </c>
      <c r="C14" t="s">
        <v>577</v>
      </c>
      <c r="D14" s="1" t="s">
        <v>10</v>
      </c>
      <c r="E14" s="1">
        <v>1</v>
      </c>
      <c r="F14" s="1">
        <v>0</v>
      </c>
      <c r="G14" s="1">
        <v>0</v>
      </c>
      <c r="H14" s="4">
        <v>1</v>
      </c>
      <c r="J14" t="str">
        <f>"0000000239"</f>
        <v>0000000239</v>
      </c>
      <c r="K14" t="str">
        <f>"724"</f>
        <v>724</v>
      </c>
      <c r="L14" t="s">
        <v>577</v>
      </c>
      <c r="M14" t="s">
        <v>10</v>
      </c>
      <c r="N14" s="1">
        <v>1</v>
      </c>
      <c r="O14" s="1">
        <v>0</v>
      </c>
      <c r="P14" s="1">
        <v>0</v>
      </c>
      <c r="Q14" s="4">
        <v>1</v>
      </c>
    </row>
    <row r="15" spans="1:17" x14ac:dyDescent="0.25">
      <c r="A15" t="s">
        <v>101</v>
      </c>
      <c r="B15" s="1" t="s">
        <v>246</v>
      </c>
      <c r="C15" t="s">
        <v>247</v>
      </c>
      <c r="D15" s="1" t="s">
        <v>20</v>
      </c>
      <c r="E15" s="1">
        <v>9</v>
      </c>
      <c r="F15" s="1">
        <v>0</v>
      </c>
      <c r="G15" s="1">
        <v>0</v>
      </c>
      <c r="H15" s="4">
        <v>9</v>
      </c>
      <c r="J15" t="str">
        <f>"0000000293"</f>
        <v>0000000293</v>
      </c>
      <c r="K15" t="str">
        <f>"MYLORA007"</f>
        <v>MYLORA007</v>
      </c>
      <c r="L15" t="s">
        <v>247</v>
      </c>
      <c r="M15" t="s">
        <v>20</v>
      </c>
      <c r="N15" s="1">
        <v>9</v>
      </c>
      <c r="O15" s="1">
        <v>0</v>
      </c>
      <c r="P15" s="1">
        <v>0</v>
      </c>
      <c r="Q15" s="4">
        <v>9</v>
      </c>
    </row>
    <row r="16" spans="1:17" x14ac:dyDescent="0.25">
      <c r="A16" t="s">
        <v>8</v>
      </c>
      <c r="B16" s="1">
        <v>162</v>
      </c>
      <c r="C16" t="s">
        <v>324</v>
      </c>
      <c r="D16" s="1" t="s">
        <v>16</v>
      </c>
      <c r="E16" s="1">
        <v>8</v>
      </c>
      <c r="F16" s="1">
        <v>0</v>
      </c>
      <c r="G16" s="1">
        <v>0</v>
      </c>
      <c r="H16" s="4">
        <v>8</v>
      </c>
      <c r="J16" t="str">
        <f>"0000000170"</f>
        <v>0000000170</v>
      </c>
      <c r="K16" t="str">
        <f>"0162"</f>
        <v>0162</v>
      </c>
      <c r="L16" t="s">
        <v>324</v>
      </c>
      <c r="M16" t="s">
        <v>16</v>
      </c>
      <c r="N16" s="1">
        <v>8</v>
      </c>
      <c r="O16" s="1">
        <v>0</v>
      </c>
      <c r="P16" s="1">
        <v>0</v>
      </c>
      <c r="Q16" s="4">
        <v>8</v>
      </c>
    </row>
    <row r="17" spans="1:17" x14ac:dyDescent="0.25">
      <c r="A17" t="s">
        <v>8</v>
      </c>
      <c r="B17" s="1">
        <v>8620</v>
      </c>
      <c r="C17" t="s">
        <v>282</v>
      </c>
      <c r="D17" s="1" t="s">
        <v>20</v>
      </c>
      <c r="E17" s="1">
        <v>7</v>
      </c>
      <c r="F17" s="1">
        <v>0</v>
      </c>
      <c r="G17" s="1">
        <v>0</v>
      </c>
      <c r="H17" s="4">
        <v>7</v>
      </c>
      <c r="J17" t="str">
        <f>"0000000297"</f>
        <v>0000000297</v>
      </c>
      <c r="K17" t="str">
        <f>"8620"</f>
        <v>8620</v>
      </c>
      <c r="L17" t="s">
        <v>282</v>
      </c>
      <c r="M17" t="s">
        <v>20</v>
      </c>
      <c r="N17" s="1">
        <v>7</v>
      </c>
      <c r="O17" s="1">
        <v>0</v>
      </c>
      <c r="P17" s="1">
        <v>0</v>
      </c>
      <c r="Q17" s="4">
        <v>7</v>
      </c>
    </row>
    <row r="18" spans="1:17" x14ac:dyDescent="0.25">
      <c r="A18" t="s">
        <v>26</v>
      </c>
      <c r="B18" s="1">
        <v>554</v>
      </c>
      <c r="C18" t="s">
        <v>27</v>
      </c>
      <c r="D18" s="1" t="s">
        <v>16</v>
      </c>
      <c r="E18" s="1">
        <v>43</v>
      </c>
      <c r="F18" s="1">
        <v>0</v>
      </c>
      <c r="G18" s="1">
        <v>0</v>
      </c>
      <c r="H18" s="8">
        <v>43</v>
      </c>
      <c r="J18" t="str">
        <f>"0000000116"</f>
        <v>0000000116</v>
      </c>
      <c r="K18" t="str">
        <f>"554"</f>
        <v>554</v>
      </c>
      <c r="L18" t="s">
        <v>27</v>
      </c>
      <c r="M18" t="s">
        <v>16</v>
      </c>
      <c r="N18" s="1">
        <v>18</v>
      </c>
      <c r="O18" s="1">
        <v>0</v>
      </c>
      <c r="P18" s="1">
        <v>0</v>
      </c>
      <c r="Q18" s="8">
        <v>18</v>
      </c>
    </row>
    <row r="19" spans="1:17" x14ac:dyDescent="0.25">
      <c r="A19" t="s">
        <v>8</v>
      </c>
      <c r="B19" s="1" t="s">
        <v>234</v>
      </c>
      <c r="C19" t="s">
        <v>235</v>
      </c>
      <c r="D19" s="1" t="s">
        <v>20</v>
      </c>
      <c r="E19" s="1">
        <v>8</v>
      </c>
      <c r="F19" s="1">
        <v>0</v>
      </c>
      <c r="G19" s="1">
        <v>0</v>
      </c>
      <c r="H19" s="8">
        <v>8</v>
      </c>
      <c r="J19" t="str">
        <f>"0000000014"</f>
        <v>0000000014</v>
      </c>
      <c r="K19" t="str">
        <f>"MYLORA014"</f>
        <v>MYLORA014</v>
      </c>
      <c r="L19" t="s">
        <v>235</v>
      </c>
      <c r="M19" t="s">
        <v>20</v>
      </c>
      <c r="N19" s="1">
        <v>7</v>
      </c>
      <c r="O19" s="1">
        <v>0</v>
      </c>
      <c r="P19" s="1">
        <v>0</v>
      </c>
      <c r="Q19" s="8">
        <v>7</v>
      </c>
    </row>
    <row r="20" spans="1:17" x14ac:dyDescent="0.25">
      <c r="A20" t="s">
        <v>398</v>
      </c>
      <c r="B20" s="1">
        <v>771</v>
      </c>
      <c r="C20" t="s">
        <v>399</v>
      </c>
      <c r="D20" s="1" t="s">
        <v>16</v>
      </c>
      <c r="E20" s="1">
        <v>16</v>
      </c>
      <c r="F20" s="1">
        <v>0</v>
      </c>
      <c r="G20" s="1">
        <v>0</v>
      </c>
      <c r="H20" s="4">
        <v>16</v>
      </c>
      <c r="J20" t="str">
        <f>"0000000298"</f>
        <v>0000000298</v>
      </c>
      <c r="K20" t="str">
        <f>"771"</f>
        <v>771</v>
      </c>
      <c r="L20" t="s">
        <v>399</v>
      </c>
      <c r="M20" t="s">
        <v>16</v>
      </c>
      <c r="N20" s="1">
        <v>16</v>
      </c>
      <c r="O20" s="1">
        <v>0</v>
      </c>
      <c r="P20" s="1">
        <v>0</v>
      </c>
      <c r="Q20" s="4">
        <v>16</v>
      </c>
    </row>
    <row r="21" spans="1:17" x14ac:dyDescent="0.25">
      <c r="A21" t="s">
        <v>37</v>
      </c>
      <c r="B21" s="1" t="s">
        <v>404</v>
      </c>
      <c r="C21" t="s">
        <v>405</v>
      </c>
      <c r="D21" s="1" t="s">
        <v>20</v>
      </c>
      <c r="E21" s="1">
        <v>11</v>
      </c>
      <c r="F21" s="1">
        <v>0</v>
      </c>
      <c r="G21" s="1">
        <v>0</v>
      </c>
      <c r="H21" s="4">
        <v>11</v>
      </c>
      <c r="J21" t="str">
        <f>"0000000445"</f>
        <v>0000000445</v>
      </c>
      <c r="K21" t="str">
        <f>"MYLORA015"</f>
        <v>MYLORA015</v>
      </c>
      <c r="L21" t="s">
        <v>405</v>
      </c>
      <c r="M21" t="s">
        <v>20</v>
      </c>
      <c r="N21" s="1">
        <v>11</v>
      </c>
      <c r="O21" s="1">
        <v>0</v>
      </c>
      <c r="P21" s="1">
        <v>0</v>
      </c>
      <c r="Q21" s="4">
        <v>11</v>
      </c>
    </row>
    <row r="22" spans="1:17" x14ac:dyDescent="0.25">
      <c r="A22" t="s">
        <v>394</v>
      </c>
      <c r="B22" s="1" t="s">
        <v>395</v>
      </c>
      <c r="C22" t="s">
        <v>396</v>
      </c>
      <c r="D22" s="1" t="s">
        <v>16</v>
      </c>
      <c r="E22" s="1">
        <v>16</v>
      </c>
      <c r="F22" s="1">
        <v>0</v>
      </c>
      <c r="G22" s="1">
        <v>0</v>
      </c>
      <c r="H22" s="4">
        <v>16</v>
      </c>
      <c r="J22" t="str">
        <f>"0000000552"</f>
        <v>0000000552</v>
      </c>
      <c r="K22" t="str">
        <f>"MYLORA228"</f>
        <v>MYLORA228</v>
      </c>
      <c r="L22" t="s">
        <v>396</v>
      </c>
      <c r="M22" t="s">
        <v>16</v>
      </c>
      <c r="N22" s="1">
        <v>16</v>
      </c>
      <c r="O22" s="1">
        <v>0</v>
      </c>
      <c r="P22" s="1">
        <v>0</v>
      </c>
      <c r="Q22" s="4">
        <v>16</v>
      </c>
    </row>
    <row r="23" spans="1:17" x14ac:dyDescent="0.25">
      <c r="A23" t="s">
        <v>8</v>
      </c>
      <c r="B23" s="1">
        <v>206</v>
      </c>
      <c r="C23" t="s">
        <v>167</v>
      </c>
      <c r="D23" s="1" t="s">
        <v>16</v>
      </c>
      <c r="E23" s="1">
        <v>13</v>
      </c>
      <c r="F23" s="1">
        <v>0</v>
      </c>
      <c r="G23" s="1">
        <v>0</v>
      </c>
      <c r="H23" s="4">
        <v>13</v>
      </c>
      <c r="J23" t="str">
        <f>"0000000187"</f>
        <v>0000000187</v>
      </c>
      <c r="K23" t="str">
        <f>"206"</f>
        <v>206</v>
      </c>
      <c r="L23" t="s">
        <v>167</v>
      </c>
      <c r="M23" t="s">
        <v>16</v>
      </c>
      <c r="N23" s="1">
        <v>13</v>
      </c>
      <c r="O23" s="1">
        <v>0</v>
      </c>
      <c r="P23" s="1">
        <v>0</v>
      </c>
      <c r="Q23" s="4">
        <v>13</v>
      </c>
    </row>
    <row r="24" spans="1:17" x14ac:dyDescent="0.25">
      <c r="A24" t="s">
        <v>8</v>
      </c>
      <c r="B24" s="1" t="s">
        <v>325</v>
      </c>
      <c r="C24" t="s">
        <v>326</v>
      </c>
      <c r="D24" s="1" t="s">
        <v>20</v>
      </c>
      <c r="E24" s="1">
        <v>4</v>
      </c>
      <c r="F24" s="1">
        <v>0</v>
      </c>
      <c r="G24" s="1">
        <v>0</v>
      </c>
      <c r="H24" s="4">
        <v>4</v>
      </c>
      <c r="J24" t="str">
        <f>"0000000299"</f>
        <v>0000000299</v>
      </c>
      <c r="K24" t="str">
        <f>"MYLORA016"</f>
        <v>MYLORA016</v>
      </c>
      <c r="L24" t="s">
        <v>326</v>
      </c>
      <c r="M24" t="s">
        <v>20</v>
      </c>
      <c r="N24" s="1">
        <v>4</v>
      </c>
      <c r="O24" s="1">
        <v>0</v>
      </c>
      <c r="P24" s="1">
        <v>0</v>
      </c>
      <c r="Q24" s="4">
        <v>4</v>
      </c>
    </row>
    <row r="25" spans="1:17" x14ac:dyDescent="0.25">
      <c r="A25" t="s">
        <v>216</v>
      </c>
      <c r="B25" s="1">
        <v>600</v>
      </c>
      <c r="C25" t="s">
        <v>217</v>
      </c>
      <c r="D25" s="1" t="s">
        <v>10</v>
      </c>
      <c r="E25" s="1">
        <v>0.25</v>
      </c>
      <c r="F25" s="1">
        <v>0</v>
      </c>
      <c r="G25" s="1">
        <v>0</v>
      </c>
      <c r="H25" s="4">
        <v>0.25</v>
      </c>
      <c r="J25" t="str">
        <f>"0000000333"</f>
        <v>0000000333</v>
      </c>
      <c r="K25" t="str">
        <f>"600"</f>
        <v>600</v>
      </c>
      <c r="L25" t="s">
        <v>217</v>
      </c>
      <c r="M25" t="s">
        <v>10</v>
      </c>
      <c r="N25" s="1">
        <v>0.25</v>
      </c>
      <c r="O25" s="1">
        <v>0</v>
      </c>
      <c r="P25" s="1">
        <v>0</v>
      </c>
      <c r="Q25" s="4">
        <v>0.25</v>
      </c>
    </row>
    <row r="26" spans="1:17" x14ac:dyDescent="0.25">
      <c r="A26" t="s">
        <v>528</v>
      </c>
      <c r="B26" s="1" t="s">
        <v>529</v>
      </c>
      <c r="C26" t="s">
        <v>530</v>
      </c>
      <c r="D26" s="1" t="s">
        <v>12</v>
      </c>
      <c r="E26" s="1">
        <v>0</v>
      </c>
      <c r="F26" s="1">
        <v>0</v>
      </c>
      <c r="G26" s="1">
        <v>0</v>
      </c>
      <c r="H26" s="4">
        <v>0</v>
      </c>
      <c r="J26" t="str">
        <f>"0000000143"</f>
        <v>0000000143</v>
      </c>
      <c r="K26" t="str">
        <f>"MYLORA312"</f>
        <v>MYLORA312</v>
      </c>
      <c r="L26" t="s">
        <v>530</v>
      </c>
      <c r="M26" t="s">
        <v>12</v>
      </c>
      <c r="N26" s="1">
        <v>0</v>
      </c>
      <c r="O26" s="1">
        <v>0</v>
      </c>
      <c r="P26" s="1">
        <v>0</v>
      </c>
      <c r="Q26" s="4">
        <v>0</v>
      </c>
    </row>
    <row r="27" spans="1:17" x14ac:dyDescent="0.25">
      <c r="A27" t="s">
        <v>8</v>
      </c>
      <c r="B27" s="1">
        <v>4806524150001</v>
      </c>
      <c r="C27" t="s">
        <v>283</v>
      </c>
      <c r="D27" s="1" t="s">
        <v>16</v>
      </c>
      <c r="E27" s="1">
        <v>0</v>
      </c>
      <c r="F27" s="1">
        <v>0</v>
      </c>
      <c r="G27" s="1">
        <v>0</v>
      </c>
      <c r="H27" s="4">
        <v>0</v>
      </c>
      <c r="J27" t="str">
        <f>"0000000655"</f>
        <v>0000000655</v>
      </c>
      <c r="K27" t="str">
        <f>"4806524150001"</f>
        <v>4806524150001</v>
      </c>
      <c r="L27" t="s">
        <v>283</v>
      </c>
      <c r="M27" t="s">
        <v>16</v>
      </c>
      <c r="N27" s="1">
        <v>0</v>
      </c>
      <c r="O27" s="1">
        <v>0</v>
      </c>
      <c r="P27" s="1">
        <v>0</v>
      </c>
      <c r="Q27" s="4">
        <v>0</v>
      </c>
    </row>
    <row r="28" spans="1:17" x14ac:dyDescent="0.25">
      <c r="A28" t="s">
        <v>101</v>
      </c>
      <c r="B28" s="1" t="s">
        <v>248</v>
      </c>
      <c r="C28" t="s">
        <v>249</v>
      </c>
      <c r="D28" s="1" t="s">
        <v>20</v>
      </c>
      <c r="E28" s="1">
        <v>0</v>
      </c>
      <c r="F28" s="1">
        <v>0</v>
      </c>
      <c r="G28" s="1">
        <v>0</v>
      </c>
      <c r="H28" s="4">
        <v>0</v>
      </c>
      <c r="J28" t="str">
        <f>"0000000096"</f>
        <v>0000000096</v>
      </c>
      <c r="K28" t="str">
        <f>"MYLORA017"</f>
        <v>MYLORA017</v>
      </c>
      <c r="L28" t="s">
        <v>249</v>
      </c>
      <c r="M28" t="s">
        <v>20</v>
      </c>
      <c r="N28" s="1">
        <v>0</v>
      </c>
      <c r="O28" s="1">
        <v>0</v>
      </c>
      <c r="P28" s="1">
        <v>0</v>
      </c>
      <c r="Q28" s="4">
        <v>0</v>
      </c>
    </row>
    <row r="29" spans="1:17" x14ac:dyDescent="0.25">
      <c r="A29" t="s">
        <v>8</v>
      </c>
      <c r="B29" s="1" t="s">
        <v>259</v>
      </c>
      <c r="C29" t="s">
        <v>260</v>
      </c>
      <c r="D29" s="1" t="s">
        <v>20</v>
      </c>
      <c r="E29" s="1">
        <v>10</v>
      </c>
      <c r="F29" s="1">
        <v>0</v>
      </c>
      <c r="G29" s="1">
        <v>0</v>
      </c>
      <c r="H29" s="8">
        <v>10</v>
      </c>
      <c r="J29" t="str">
        <f>"0000000301"</f>
        <v>0000000301</v>
      </c>
      <c r="K29" t="str">
        <f>"MYLORA018"</f>
        <v>MYLORA018</v>
      </c>
      <c r="L29" t="s">
        <v>260</v>
      </c>
      <c r="M29" t="s">
        <v>20</v>
      </c>
      <c r="N29" s="1">
        <v>7</v>
      </c>
      <c r="O29" s="1">
        <v>0</v>
      </c>
      <c r="P29" s="1">
        <v>0</v>
      </c>
      <c r="Q29" s="8">
        <v>7</v>
      </c>
    </row>
    <row r="30" spans="1:17" x14ac:dyDescent="0.25">
      <c r="A30" t="s">
        <v>8</v>
      </c>
      <c r="B30" s="1" t="s">
        <v>578</v>
      </c>
      <c r="C30" t="s">
        <v>579</v>
      </c>
      <c r="D30" s="1" t="s">
        <v>16</v>
      </c>
      <c r="E30" s="1">
        <v>61</v>
      </c>
      <c r="F30" s="1">
        <v>0</v>
      </c>
      <c r="G30" s="1">
        <v>0</v>
      </c>
      <c r="H30" s="4">
        <v>61</v>
      </c>
      <c r="J30" t="str">
        <f>"0000000118"</f>
        <v>0000000118</v>
      </c>
      <c r="K30" t="str">
        <f>"MYLORA019"</f>
        <v>MYLORA019</v>
      </c>
      <c r="L30" t="s">
        <v>579</v>
      </c>
      <c r="M30" t="s">
        <v>16</v>
      </c>
      <c r="N30" s="1">
        <v>61</v>
      </c>
      <c r="O30" s="1">
        <v>0</v>
      </c>
      <c r="P30" s="1">
        <v>0</v>
      </c>
      <c r="Q30" s="4">
        <v>61</v>
      </c>
    </row>
    <row r="31" spans="1:17" x14ac:dyDescent="0.25">
      <c r="A31" t="s">
        <v>101</v>
      </c>
      <c r="B31" s="1">
        <v>27664004199</v>
      </c>
      <c r="C31" t="s">
        <v>102</v>
      </c>
      <c r="D31" s="1" t="s">
        <v>39</v>
      </c>
      <c r="E31" s="1">
        <v>0</v>
      </c>
      <c r="F31" s="1">
        <v>0</v>
      </c>
      <c r="G31" s="1">
        <v>0</v>
      </c>
      <c r="H31" s="4">
        <v>0</v>
      </c>
      <c r="J31" t="str">
        <f>"0000000303"</f>
        <v>0000000303</v>
      </c>
      <c r="K31" t="str">
        <f>"027664004199"</f>
        <v>027664004199</v>
      </c>
      <c r="L31" t="s">
        <v>102</v>
      </c>
      <c r="M31" t="s">
        <v>39</v>
      </c>
      <c r="N31" s="1">
        <v>0</v>
      </c>
      <c r="O31" s="1">
        <v>0</v>
      </c>
      <c r="P31" s="1">
        <v>0</v>
      </c>
      <c r="Q31" s="4">
        <v>0</v>
      </c>
    </row>
    <row r="32" spans="1:17" x14ac:dyDescent="0.25">
      <c r="A32" t="s">
        <v>8</v>
      </c>
      <c r="B32" s="1">
        <v>210</v>
      </c>
      <c r="C32" t="s">
        <v>327</v>
      </c>
      <c r="D32" s="1" t="s">
        <v>16</v>
      </c>
      <c r="E32" s="1">
        <v>28</v>
      </c>
      <c r="F32" s="1">
        <v>0</v>
      </c>
      <c r="G32" s="1">
        <v>0</v>
      </c>
      <c r="H32" s="4">
        <v>28</v>
      </c>
      <c r="J32" t="str">
        <f>"0000000698"</f>
        <v>0000000698</v>
      </c>
      <c r="K32" t="str">
        <f>"000210"</f>
        <v>000210</v>
      </c>
      <c r="L32" t="s">
        <v>327</v>
      </c>
      <c r="M32" t="s">
        <v>16</v>
      </c>
      <c r="N32" s="1">
        <v>28</v>
      </c>
      <c r="O32" s="1">
        <v>0</v>
      </c>
      <c r="P32" s="1">
        <v>0</v>
      </c>
      <c r="Q32" s="4">
        <v>28</v>
      </c>
    </row>
    <row r="33" spans="1:17" x14ac:dyDescent="0.25">
      <c r="A33" t="s">
        <v>517</v>
      </c>
      <c r="B33" s="1" t="s">
        <v>518</v>
      </c>
      <c r="C33" t="s">
        <v>519</v>
      </c>
      <c r="D33" s="1" t="s">
        <v>20</v>
      </c>
      <c r="E33" s="1">
        <v>7</v>
      </c>
      <c r="F33" s="1">
        <v>0</v>
      </c>
      <c r="G33" s="1">
        <v>0</v>
      </c>
      <c r="H33" s="8">
        <v>7</v>
      </c>
      <c r="J33" t="str">
        <f>"0000000598"</f>
        <v>0000000598</v>
      </c>
      <c r="K33" t="str">
        <f>"MYLORA021"</f>
        <v>MYLORA021</v>
      </c>
      <c r="L33" t="s">
        <v>519</v>
      </c>
      <c r="M33" t="s">
        <v>20</v>
      </c>
      <c r="N33" s="1">
        <v>4</v>
      </c>
      <c r="O33" s="1">
        <v>0</v>
      </c>
      <c r="P33" s="1">
        <v>0</v>
      </c>
      <c r="Q33" s="8">
        <v>4</v>
      </c>
    </row>
    <row r="34" spans="1:17" x14ac:dyDescent="0.25">
      <c r="A34" t="s">
        <v>591</v>
      </c>
      <c r="B34" s="1">
        <v>173</v>
      </c>
      <c r="C34" t="s">
        <v>592</v>
      </c>
      <c r="D34" s="1" t="s">
        <v>16</v>
      </c>
      <c r="E34" s="1">
        <v>117</v>
      </c>
      <c r="F34" s="1">
        <v>0</v>
      </c>
      <c r="G34" s="1">
        <v>0</v>
      </c>
      <c r="H34" s="4">
        <v>117</v>
      </c>
      <c r="J34" t="str">
        <f>"0000000606"</f>
        <v>0000000606</v>
      </c>
      <c r="K34" t="str">
        <f>"173"</f>
        <v>173</v>
      </c>
      <c r="L34" t="s">
        <v>592</v>
      </c>
      <c r="M34" t="s">
        <v>16</v>
      </c>
      <c r="N34" s="1">
        <v>117</v>
      </c>
      <c r="O34" s="1">
        <v>0</v>
      </c>
      <c r="P34" s="1">
        <v>0</v>
      </c>
      <c r="Q34" s="4">
        <v>117</v>
      </c>
    </row>
    <row r="35" spans="1:17" x14ac:dyDescent="0.25">
      <c r="A35" t="s">
        <v>411</v>
      </c>
      <c r="B35" s="1" t="s">
        <v>412</v>
      </c>
      <c r="C35" t="s">
        <v>413</v>
      </c>
      <c r="D35" s="1" t="s">
        <v>20</v>
      </c>
      <c r="E35" s="1">
        <v>7</v>
      </c>
      <c r="F35" s="1">
        <v>0</v>
      </c>
      <c r="G35" s="1">
        <v>0</v>
      </c>
      <c r="H35" s="4">
        <v>7</v>
      </c>
      <c r="J35" t="str">
        <f>"0000000304"</f>
        <v>0000000304</v>
      </c>
      <c r="K35" t="str">
        <f>"MYLORA023"</f>
        <v>MYLORA023</v>
      </c>
      <c r="L35" t="s">
        <v>413</v>
      </c>
      <c r="M35" t="s">
        <v>20</v>
      </c>
      <c r="N35" s="1">
        <v>7</v>
      </c>
      <c r="O35" s="1">
        <v>0</v>
      </c>
      <c r="P35" s="1">
        <v>0</v>
      </c>
      <c r="Q35" s="4">
        <v>7</v>
      </c>
    </row>
    <row r="36" spans="1:17" x14ac:dyDescent="0.25">
      <c r="A36" t="s">
        <v>8</v>
      </c>
      <c r="B36" s="1" t="s">
        <v>261</v>
      </c>
      <c r="C36" t="s">
        <v>262</v>
      </c>
      <c r="D36" s="1" t="s">
        <v>197</v>
      </c>
      <c r="E36" s="1">
        <v>0</v>
      </c>
      <c r="F36" s="1">
        <v>0</v>
      </c>
      <c r="G36" s="1">
        <v>0</v>
      </c>
      <c r="H36" s="4">
        <v>0</v>
      </c>
      <c r="J36" t="str">
        <f>"0000000220"</f>
        <v>0000000220</v>
      </c>
      <c r="K36" t="str">
        <f>"MYLORA231"</f>
        <v>MYLORA231</v>
      </c>
      <c r="L36" t="s">
        <v>262</v>
      </c>
      <c r="M36" t="s">
        <v>197</v>
      </c>
      <c r="N36" s="1">
        <v>0</v>
      </c>
      <c r="O36" s="1">
        <v>0</v>
      </c>
      <c r="P36" s="1">
        <v>0</v>
      </c>
      <c r="Q36" s="4">
        <v>0</v>
      </c>
    </row>
    <row r="37" spans="1:17" x14ac:dyDescent="0.25">
      <c r="A37" t="s">
        <v>8</v>
      </c>
      <c r="B37" s="1">
        <v>4800371006221</v>
      </c>
      <c r="C37" t="s">
        <v>284</v>
      </c>
      <c r="D37" s="1" t="s">
        <v>39</v>
      </c>
      <c r="E37" s="1">
        <v>0</v>
      </c>
      <c r="F37" s="1">
        <v>0</v>
      </c>
      <c r="G37" s="1">
        <v>0</v>
      </c>
      <c r="H37" s="4">
        <v>0</v>
      </c>
      <c r="J37" t="str">
        <f>"0000000205"</f>
        <v>0000000205</v>
      </c>
      <c r="K37" t="str">
        <f>"4800371006221"</f>
        <v>4800371006221</v>
      </c>
      <c r="L37" t="s">
        <v>284</v>
      </c>
      <c r="M37" t="s">
        <v>39</v>
      </c>
      <c r="N37" s="1">
        <v>0</v>
      </c>
      <c r="O37" s="1">
        <v>0</v>
      </c>
      <c r="P37" s="1">
        <v>0</v>
      </c>
      <c r="Q37" s="4">
        <v>0</v>
      </c>
    </row>
    <row r="38" spans="1:17" x14ac:dyDescent="0.25">
      <c r="A38" t="s">
        <v>8</v>
      </c>
      <c r="B38" s="1">
        <v>4800371006238</v>
      </c>
      <c r="C38" t="s">
        <v>236</v>
      </c>
      <c r="D38" s="1" t="s">
        <v>39</v>
      </c>
      <c r="E38" s="1">
        <v>0</v>
      </c>
      <c r="F38" s="1">
        <v>0</v>
      </c>
      <c r="G38" s="1">
        <v>0</v>
      </c>
      <c r="H38" s="4">
        <v>0</v>
      </c>
      <c r="J38" t="str">
        <f>"0000000094"</f>
        <v>0000000094</v>
      </c>
      <c r="K38" t="str">
        <f>"4800371006238"</f>
        <v>4800371006238</v>
      </c>
      <c r="L38" t="s">
        <v>236</v>
      </c>
      <c r="M38" t="s">
        <v>39</v>
      </c>
      <c r="N38" s="1">
        <v>0</v>
      </c>
      <c r="O38" s="1">
        <v>0</v>
      </c>
      <c r="P38" s="1">
        <v>0</v>
      </c>
      <c r="Q38" s="4">
        <v>0</v>
      </c>
    </row>
    <row r="39" spans="1:17" x14ac:dyDescent="0.25">
      <c r="A39" t="s">
        <v>101</v>
      </c>
      <c r="B39" s="1" t="s">
        <v>511</v>
      </c>
      <c r="C39" t="s">
        <v>512</v>
      </c>
      <c r="D39" s="1" t="s">
        <v>20</v>
      </c>
      <c r="E39" s="1">
        <v>5</v>
      </c>
      <c r="F39" s="1">
        <v>0</v>
      </c>
      <c r="G39" s="1">
        <v>0</v>
      </c>
      <c r="H39" s="4">
        <v>5</v>
      </c>
      <c r="J39" t="str">
        <f>"0000000306"</f>
        <v>0000000306</v>
      </c>
      <c r="K39" t="str">
        <f>"MYLORA024"</f>
        <v>MYLORA024</v>
      </c>
      <c r="L39" t="s">
        <v>512</v>
      </c>
      <c r="M39" t="s">
        <v>20</v>
      </c>
      <c r="N39" s="1">
        <v>5</v>
      </c>
      <c r="O39" s="1">
        <v>0</v>
      </c>
      <c r="P39" s="1">
        <v>0</v>
      </c>
      <c r="Q39" s="4">
        <v>5</v>
      </c>
    </row>
    <row r="40" spans="1:17" x14ac:dyDescent="0.25">
      <c r="A40" t="s">
        <v>8</v>
      </c>
      <c r="B40" s="1">
        <v>625</v>
      </c>
      <c r="C40" t="s">
        <v>580</v>
      </c>
      <c r="D40" s="1" t="s">
        <v>16</v>
      </c>
      <c r="E40" s="1">
        <v>18</v>
      </c>
      <c r="F40" s="1">
        <v>0</v>
      </c>
      <c r="G40" s="1">
        <v>1</v>
      </c>
      <c r="H40" s="8">
        <v>17</v>
      </c>
      <c r="J40" t="str">
        <f>"0000000848"</f>
        <v>0000000848</v>
      </c>
      <c r="K40" t="str">
        <f>"625"</f>
        <v>625</v>
      </c>
      <c r="L40" t="s">
        <v>580</v>
      </c>
      <c r="M40" t="s">
        <v>16</v>
      </c>
      <c r="N40" s="1">
        <v>17</v>
      </c>
      <c r="O40" s="1">
        <v>0</v>
      </c>
      <c r="P40" s="1">
        <v>-3</v>
      </c>
      <c r="Q40" s="8">
        <v>14</v>
      </c>
    </row>
    <row r="41" spans="1:17" x14ac:dyDescent="0.25">
      <c r="A41" t="s">
        <v>8</v>
      </c>
      <c r="B41" s="1">
        <v>478</v>
      </c>
      <c r="C41" t="s">
        <v>308</v>
      </c>
      <c r="D41" s="1" t="s">
        <v>16</v>
      </c>
      <c r="E41" s="1">
        <v>0</v>
      </c>
      <c r="F41" s="1">
        <v>0</v>
      </c>
      <c r="G41" s="1">
        <v>0</v>
      </c>
      <c r="H41" s="4">
        <v>0</v>
      </c>
      <c r="J41" t="str">
        <f>"0000000703"</f>
        <v>0000000703</v>
      </c>
      <c r="K41" t="str">
        <f>"478"</f>
        <v>478</v>
      </c>
      <c r="L41" t="s">
        <v>308</v>
      </c>
      <c r="M41" t="s">
        <v>16</v>
      </c>
      <c r="N41" s="1">
        <v>0</v>
      </c>
      <c r="O41" s="1">
        <v>0</v>
      </c>
      <c r="P41" s="1">
        <v>0</v>
      </c>
      <c r="Q41" s="4">
        <v>0</v>
      </c>
    </row>
    <row r="42" spans="1:17" x14ac:dyDescent="0.25">
      <c r="A42" t="s">
        <v>8</v>
      </c>
      <c r="B42" s="1">
        <v>217</v>
      </c>
      <c r="C42" t="s">
        <v>285</v>
      </c>
      <c r="D42" s="1" t="s">
        <v>16</v>
      </c>
      <c r="E42" s="1">
        <v>103</v>
      </c>
      <c r="F42" s="1">
        <v>0</v>
      </c>
      <c r="G42" s="1">
        <v>0</v>
      </c>
      <c r="H42" s="4">
        <v>103</v>
      </c>
      <c r="J42" t="str">
        <f>"0000000611"</f>
        <v>0000000611</v>
      </c>
      <c r="K42" t="str">
        <f>"000217"</f>
        <v>000217</v>
      </c>
      <c r="L42" t="s">
        <v>285</v>
      </c>
      <c r="M42" t="s">
        <v>16</v>
      </c>
      <c r="N42" s="1">
        <v>103</v>
      </c>
      <c r="O42" s="1">
        <v>0</v>
      </c>
      <c r="P42" s="1">
        <v>0</v>
      </c>
      <c r="Q42" s="4">
        <v>103</v>
      </c>
    </row>
    <row r="43" spans="1:17" x14ac:dyDescent="0.25">
      <c r="A43" t="s">
        <v>17</v>
      </c>
      <c r="B43" s="1" t="s">
        <v>422</v>
      </c>
      <c r="C43" t="s">
        <v>423</v>
      </c>
      <c r="D43" s="1" t="s">
        <v>20</v>
      </c>
      <c r="E43" s="1">
        <v>6</v>
      </c>
      <c r="F43" s="1">
        <v>0</v>
      </c>
      <c r="G43" s="1">
        <v>0</v>
      </c>
      <c r="H43" s="8">
        <v>6</v>
      </c>
      <c r="J43" t="str">
        <f>"0000000633"</f>
        <v>0000000633</v>
      </c>
      <c r="K43" t="str">
        <f>"MYLORA026"</f>
        <v>MYLORA026</v>
      </c>
      <c r="L43" t="s">
        <v>423</v>
      </c>
      <c r="M43" t="s">
        <v>20</v>
      </c>
      <c r="N43" s="1">
        <v>5</v>
      </c>
      <c r="O43" s="1">
        <v>0</v>
      </c>
      <c r="P43" s="1">
        <v>0</v>
      </c>
      <c r="Q43" s="8">
        <v>5</v>
      </c>
    </row>
    <row r="44" spans="1:17" x14ac:dyDescent="0.25">
      <c r="A44" t="s">
        <v>418</v>
      </c>
      <c r="B44" s="1">
        <v>1661</v>
      </c>
      <c r="C44" t="s">
        <v>494</v>
      </c>
      <c r="D44" s="1" t="s">
        <v>39</v>
      </c>
      <c r="E44" s="1">
        <v>4</v>
      </c>
      <c r="F44" s="1">
        <v>0</v>
      </c>
      <c r="G44" s="1">
        <v>0</v>
      </c>
      <c r="H44" s="4">
        <v>4</v>
      </c>
      <c r="J44" t="str">
        <f>"0000000623"</f>
        <v>0000000623</v>
      </c>
      <c r="K44" t="str">
        <f>"0000001661"</f>
        <v>0000001661</v>
      </c>
      <c r="L44" t="s">
        <v>494</v>
      </c>
      <c r="M44" t="s">
        <v>39</v>
      </c>
      <c r="N44" s="1">
        <v>4</v>
      </c>
      <c r="O44" s="1">
        <v>0</v>
      </c>
      <c r="P44" s="1">
        <v>0</v>
      </c>
      <c r="Q44" s="4">
        <v>4</v>
      </c>
    </row>
    <row r="45" spans="1:17" x14ac:dyDescent="0.25">
      <c r="A45" t="s">
        <v>8</v>
      </c>
      <c r="B45" s="1">
        <v>329</v>
      </c>
      <c r="C45" t="s">
        <v>196</v>
      </c>
      <c r="D45" s="1" t="s">
        <v>197</v>
      </c>
      <c r="E45" s="1">
        <v>63.5</v>
      </c>
      <c r="F45" s="1">
        <v>0</v>
      </c>
      <c r="G45" s="1">
        <v>0</v>
      </c>
      <c r="H45" s="4">
        <v>63.5</v>
      </c>
      <c r="J45" t="str">
        <f>"0000000231"</f>
        <v>0000000231</v>
      </c>
      <c r="K45" t="str">
        <f>"000329"</f>
        <v>000329</v>
      </c>
      <c r="L45" t="s">
        <v>196</v>
      </c>
      <c r="M45" t="s">
        <v>197</v>
      </c>
      <c r="N45" s="1">
        <v>63.5</v>
      </c>
      <c r="O45" s="1">
        <v>0</v>
      </c>
      <c r="P45" s="1">
        <v>0</v>
      </c>
      <c r="Q45" s="4">
        <v>63.5</v>
      </c>
    </row>
    <row r="46" spans="1:17" x14ac:dyDescent="0.25">
      <c r="A46" t="s">
        <v>8</v>
      </c>
      <c r="B46" s="1">
        <v>4801000709438</v>
      </c>
      <c r="C46" t="s">
        <v>211</v>
      </c>
      <c r="D46" s="1" t="s">
        <v>39</v>
      </c>
      <c r="E46" s="1">
        <v>3</v>
      </c>
      <c r="F46" s="1">
        <v>0</v>
      </c>
      <c r="G46" s="1">
        <v>0</v>
      </c>
      <c r="H46" s="4">
        <v>3</v>
      </c>
      <c r="J46" t="str">
        <f>"0000000601"</f>
        <v>0000000601</v>
      </c>
      <c r="K46" t="str">
        <f>"4801000709438"</f>
        <v>4801000709438</v>
      </c>
      <c r="L46" t="s">
        <v>211</v>
      </c>
      <c r="M46" t="s">
        <v>39</v>
      </c>
      <c r="N46" s="1">
        <v>3</v>
      </c>
      <c r="O46" s="1">
        <v>0</v>
      </c>
      <c r="P46" s="1">
        <v>0</v>
      </c>
      <c r="Q46" s="4">
        <v>3</v>
      </c>
    </row>
    <row r="47" spans="1:17" x14ac:dyDescent="0.25">
      <c r="A47" t="s">
        <v>8</v>
      </c>
      <c r="B47" s="1">
        <v>4801000709407</v>
      </c>
      <c r="C47" t="s">
        <v>328</v>
      </c>
      <c r="D47" s="1" t="s">
        <v>39</v>
      </c>
      <c r="E47" s="1">
        <v>0</v>
      </c>
      <c r="F47" s="1">
        <v>0</v>
      </c>
      <c r="G47" s="1">
        <v>0</v>
      </c>
      <c r="H47" s="4">
        <v>0</v>
      </c>
      <c r="J47" t="str">
        <f>"0000000603"</f>
        <v>0000000603</v>
      </c>
      <c r="K47" t="str">
        <f>"4801000709407"</f>
        <v>4801000709407</v>
      </c>
      <c r="L47" t="s">
        <v>328</v>
      </c>
      <c r="M47" t="s">
        <v>39</v>
      </c>
      <c r="N47" s="1">
        <v>0</v>
      </c>
      <c r="O47" s="1">
        <v>0</v>
      </c>
      <c r="P47" s="1">
        <v>0</v>
      </c>
      <c r="Q47" s="4">
        <v>0</v>
      </c>
    </row>
    <row r="48" spans="1:17" x14ac:dyDescent="0.25">
      <c r="A48" t="s">
        <v>8</v>
      </c>
      <c r="B48" s="1">
        <v>630</v>
      </c>
      <c r="C48" t="s">
        <v>286</v>
      </c>
      <c r="D48" s="1" t="s">
        <v>39</v>
      </c>
      <c r="E48" s="1">
        <v>0</v>
      </c>
      <c r="F48" s="1">
        <v>0</v>
      </c>
      <c r="G48" s="1">
        <v>0</v>
      </c>
      <c r="H48" s="4">
        <v>0</v>
      </c>
      <c r="J48" t="str">
        <f>"0000000407"</f>
        <v>0000000407</v>
      </c>
      <c r="K48" t="str">
        <f>"000630"</f>
        <v>000630</v>
      </c>
      <c r="L48" t="s">
        <v>286</v>
      </c>
      <c r="M48" t="s">
        <v>39</v>
      </c>
      <c r="N48" s="1">
        <v>0</v>
      </c>
      <c r="O48" s="1">
        <v>0</v>
      </c>
      <c r="P48" s="1">
        <v>0</v>
      </c>
      <c r="Q48" s="4">
        <v>0</v>
      </c>
    </row>
    <row r="49" spans="1:17" x14ac:dyDescent="0.25">
      <c r="A49" t="s">
        <v>8</v>
      </c>
      <c r="B49" s="1" t="s">
        <v>571</v>
      </c>
      <c r="C49" t="s">
        <v>572</v>
      </c>
      <c r="D49" s="1" t="s">
        <v>16</v>
      </c>
      <c r="E49" s="1">
        <v>0</v>
      </c>
      <c r="F49" s="1">
        <v>0</v>
      </c>
      <c r="G49" s="1">
        <v>0</v>
      </c>
      <c r="H49" s="4">
        <v>0</v>
      </c>
      <c r="J49" t="str">
        <f>"0000000419"</f>
        <v>0000000419</v>
      </c>
      <c r="K49" t="str">
        <f>"MYLORA338"</f>
        <v>MYLORA338</v>
      </c>
      <c r="L49" t="s">
        <v>572</v>
      </c>
      <c r="M49" t="s">
        <v>16</v>
      </c>
      <c r="N49" s="1">
        <v>0</v>
      </c>
      <c r="O49" s="1">
        <v>0</v>
      </c>
      <c r="P49" s="1">
        <v>0</v>
      </c>
      <c r="Q49" s="4">
        <v>0</v>
      </c>
    </row>
    <row r="50" spans="1:17" x14ac:dyDescent="0.25">
      <c r="A50" t="s">
        <v>8</v>
      </c>
      <c r="B50" s="1" t="s">
        <v>263</v>
      </c>
      <c r="C50" t="s">
        <v>264</v>
      </c>
      <c r="D50" s="1" t="s">
        <v>39</v>
      </c>
      <c r="E50" s="1">
        <v>0</v>
      </c>
      <c r="F50" s="1">
        <v>0</v>
      </c>
      <c r="G50" s="1">
        <v>0</v>
      </c>
      <c r="H50" s="4">
        <v>0</v>
      </c>
      <c r="J50" t="str">
        <f>"0000000121"</f>
        <v>0000000121</v>
      </c>
      <c r="K50" t="str">
        <f>"MYLORA028"</f>
        <v>MYLORA028</v>
      </c>
      <c r="L50" t="s">
        <v>264</v>
      </c>
      <c r="M50" t="s">
        <v>39</v>
      </c>
      <c r="N50" s="1">
        <v>0</v>
      </c>
      <c r="O50" s="1">
        <v>0</v>
      </c>
      <c r="P50" s="1">
        <v>0</v>
      </c>
      <c r="Q50" s="4">
        <v>0</v>
      </c>
    </row>
    <row r="51" spans="1:17" x14ac:dyDescent="0.25">
      <c r="A51" t="s">
        <v>8</v>
      </c>
      <c r="B51" s="1">
        <v>4800371242926</v>
      </c>
      <c r="C51" t="s">
        <v>588</v>
      </c>
      <c r="D51" s="1" t="s">
        <v>39</v>
      </c>
      <c r="E51" s="1">
        <v>0</v>
      </c>
      <c r="F51" s="1">
        <v>0</v>
      </c>
      <c r="G51" s="1">
        <v>0</v>
      </c>
      <c r="H51" s="4">
        <v>0</v>
      </c>
      <c r="J51" t="str">
        <f>"0000000309"</f>
        <v>0000000309</v>
      </c>
      <c r="K51" t="str">
        <f>"4800371242926"</f>
        <v>4800371242926</v>
      </c>
      <c r="L51" t="s">
        <v>588</v>
      </c>
      <c r="M51" t="s">
        <v>39</v>
      </c>
      <c r="N51" s="1">
        <v>0</v>
      </c>
      <c r="O51" s="1">
        <v>0</v>
      </c>
      <c r="P51" s="1">
        <v>0</v>
      </c>
      <c r="Q51" s="4">
        <v>0</v>
      </c>
    </row>
    <row r="52" spans="1:17" x14ac:dyDescent="0.25">
      <c r="A52" t="s">
        <v>8</v>
      </c>
      <c r="B52" s="1" t="s">
        <v>257</v>
      </c>
      <c r="C52" t="s">
        <v>258</v>
      </c>
      <c r="D52" s="1" t="s">
        <v>10</v>
      </c>
      <c r="E52" s="1">
        <v>0</v>
      </c>
      <c r="F52" s="1">
        <v>0</v>
      </c>
      <c r="G52" s="1">
        <v>0</v>
      </c>
      <c r="H52" s="4">
        <v>0</v>
      </c>
      <c r="J52" t="str">
        <f>"0000000142"</f>
        <v>0000000142</v>
      </c>
      <c r="K52" t="str">
        <f>"MYLORA030"</f>
        <v>MYLORA030</v>
      </c>
      <c r="L52" t="s">
        <v>258</v>
      </c>
      <c r="M52" t="s">
        <v>10</v>
      </c>
      <c r="N52" s="1">
        <v>0</v>
      </c>
      <c r="O52" s="1">
        <v>0</v>
      </c>
      <c r="P52" s="1">
        <v>0</v>
      </c>
      <c r="Q52" s="4">
        <v>0</v>
      </c>
    </row>
    <row r="53" spans="1:17" x14ac:dyDescent="0.25">
      <c r="A53" t="s">
        <v>8</v>
      </c>
      <c r="B53" s="1">
        <v>968</v>
      </c>
      <c r="C53" t="s">
        <v>314</v>
      </c>
      <c r="D53" s="1" t="s">
        <v>10</v>
      </c>
      <c r="E53" s="1">
        <v>0.75</v>
      </c>
      <c r="F53" s="1">
        <v>0</v>
      </c>
      <c r="G53" s="1">
        <v>0</v>
      </c>
      <c r="H53" s="4">
        <v>0.75</v>
      </c>
      <c r="J53" t="str">
        <f>"0000000677"</f>
        <v>0000000677</v>
      </c>
      <c r="K53" t="str">
        <f>"0000000968"</f>
        <v>0000000968</v>
      </c>
      <c r="L53" t="s">
        <v>314</v>
      </c>
      <c r="M53" t="s">
        <v>10</v>
      </c>
      <c r="N53" s="1">
        <v>0.75</v>
      </c>
      <c r="O53" s="1">
        <v>0</v>
      </c>
      <c r="P53" s="1">
        <v>0</v>
      </c>
      <c r="Q53" s="4">
        <v>0.75</v>
      </c>
    </row>
    <row r="54" spans="1:17" x14ac:dyDescent="0.25">
      <c r="A54" t="s">
        <v>116</v>
      </c>
      <c r="B54" s="1">
        <v>765</v>
      </c>
      <c r="C54" t="s">
        <v>117</v>
      </c>
      <c r="D54" s="1" t="s">
        <v>16</v>
      </c>
      <c r="E54" s="1">
        <v>6</v>
      </c>
      <c r="F54" s="1">
        <v>0</v>
      </c>
      <c r="G54" s="1">
        <v>0</v>
      </c>
      <c r="H54" s="4">
        <v>6</v>
      </c>
      <c r="J54" t="str">
        <f>"0000000850"</f>
        <v>0000000850</v>
      </c>
      <c r="K54" t="str">
        <f>"765"</f>
        <v>765</v>
      </c>
      <c r="L54" t="s">
        <v>117</v>
      </c>
      <c r="M54" t="s">
        <v>16</v>
      </c>
      <c r="N54" s="1">
        <v>6</v>
      </c>
      <c r="O54" s="1">
        <v>0</v>
      </c>
      <c r="P54" s="1">
        <v>0</v>
      </c>
      <c r="Q54" s="4">
        <v>6</v>
      </c>
    </row>
    <row r="55" spans="1:17" x14ac:dyDescent="0.25">
      <c r="A55" t="s">
        <v>251</v>
      </c>
      <c r="B55" s="1" t="s">
        <v>514</v>
      </c>
      <c r="C55" t="s">
        <v>515</v>
      </c>
      <c r="D55" s="1" t="s">
        <v>20</v>
      </c>
      <c r="E55" s="1">
        <v>0</v>
      </c>
      <c r="F55" s="1">
        <v>0</v>
      </c>
      <c r="G55" s="1">
        <v>0</v>
      </c>
      <c r="H55" s="4">
        <v>0</v>
      </c>
      <c r="J55" t="str">
        <f>"0000000093"</f>
        <v>0000000093</v>
      </c>
      <c r="K55" t="str">
        <f>"MYLORA037"</f>
        <v>MYLORA037</v>
      </c>
      <c r="L55" t="s">
        <v>515</v>
      </c>
      <c r="M55" t="s">
        <v>20</v>
      </c>
      <c r="N55" s="1">
        <v>0</v>
      </c>
      <c r="O55" s="1">
        <v>0</v>
      </c>
      <c r="P55" s="1">
        <v>0</v>
      </c>
      <c r="Q55" s="4">
        <v>0</v>
      </c>
    </row>
    <row r="56" spans="1:17" x14ac:dyDescent="0.25">
      <c r="A56" t="s">
        <v>8</v>
      </c>
      <c r="B56" s="1" t="s">
        <v>581</v>
      </c>
      <c r="C56" t="s">
        <v>582</v>
      </c>
      <c r="D56" s="1" t="s">
        <v>16</v>
      </c>
      <c r="E56" s="1">
        <v>0</v>
      </c>
      <c r="F56" s="1">
        <v>0</v>
      </c>
      <c r="G56" s="1">
        <v>0</v>
      </c>
      <c r="H56" s="4">
        <v>0</v>
      </c>
      <c r="J56" t="str">
        <f>"0000000337"</f>
        <v>0000000337</v>
      </c>
      <c r="K56" t="str">
        <f>"MYLORA038"</f>
        <v>MYLORA038</v>
      </c>
      <c r="L56" t="s">
        <v>582</v>
      </c>
      <c r="M56" t="s">
        <v>16</v>
      </c>
      <c r="N56" s="1">
        <v>0</v>
      </c>
      <c r="O56" s="1">
        <v>0</v>
      </c>
      <c r="P56" s="1">
        <v>0</v>
      </c>
      <c r="Q56" s="4">
        <v>0</v>
      </c>
    </row>
    <row r="57" spans="1:17" x14ac:dyDescent="0.25">
      <c r="A57" t="s">
        <v>8</v>
      </c>
      <c r="B57" s="1">
        <v>225</v>
      </c>
      <c r="C57" t="s">
        <v>177</v>
      </c>
      <c r="D57" s="1" t="s">
        <v>39</v>
      </c>
      <c r="E57" s="1">
        <v>3</v>
      </c>
      <c r="F57" s="1">
        <v>0</v>
      </c>
      <c r="G57" s="1">
        <v>0</v>
      </c>
      <c r="H57" s="4">
        <v>3</v>
      </c>
      <c r="J57" t="str">
        <f>"0000000787"</f>
        <v>0000000787</v>
      </c>
      <c r="K57" t="str">
        <f>"225"</f>
        <v>225</v>
      </c>
      <c r="L57" t="s">
        <v>177</v>
      </c>
      <c r="M57" t="s">
        <v>39</v>
      </c>
      <c r="N57" s="1">
        <v>3</v>
      </c>
      <c r="O57" s="1">
        <v>0</v>
      </c>
      <c r="P57" s="1">
        <v>0</v>
      </c>
      <c r="Q57" s="4">
        <v>3</v>
      </c>
    </row>
    <row r="58" spans="1:17" x14ac:dyDescent="0.25">
      <c r="A58" t="s">
        <v>105</v>
      </c>
      <c r="B58" s="1">
        <v>1663</v>
      </c>
      <c r="C58" t="s">
        <v>545</v>
      </c>
      <c r="D58" s="1" t="s">
        <v>89</v>
      </c>
      <c r="E58" s="1">
        <v>1</v>
      </c>
      <c r="F58" s="1">
        <v>0</v>
      </c>
      <c r="G58" s="1">
        <v>0</v>
      </c>
      <c r="H58" s="4">
        <v>1</v>
      </c>
      <c r="J58" t="str">
        <f>"0000001067"</f>
        <v>0000001067</v>
      </c>
      <c r="K58" t="str">
        <f>"0000001663"</f>
        <v>0000001663</v>
      </c>
      <c r="L58" t="s">
        <v>545</v>
      </c>
      <c r="M58" t="s">
        <v>89</v>
      </c>
      <c r="N58" s="1">
        <v>1</v>
      </c>
      <c r="O58" s="1">
        <v>0</v>
      </c>
      <c r="P58" s="1">
        <v>0</v>
      </c>
      <c r="Q58" s="4">
        <v>1</v>
      </c>
    </row>
    <row r="59" spans="1:17" x14ac:dyDescent="0.25">
      <c r="A59" t="s">
        <v>8</v>
      </c>
      <c r="B59" s="1">
        <v>226</v>
      </c>
      <c r="C59" t="s">
        <v>168</v>
      </c>
      <c r="D59" s="1" t="s">
        <v>16</v>
      </c>
      <c r="E59" s="1">
        <v>0</v>
      </c>
      <c r="F59" s="1">
        <v>0</v>
      </c>
      <c r="G59" s="1">
        <v>0</v>
      </c>
      <c r="H59" s="4">
        <v>0</v>
      </c>
      <c r="J59" t="str">
        <f>"0000000201"</f>
        <v>0000000201</v>
      </c>
      <c r="K59" t="str">
        <f>"000226"</f>
        <v>000226</v>
      </c>
      <c r="L59" t="s">
        <v>168</v>
      </c>
      <c r="M59" t="s">
        <v>16</v>
      </c>
      <c r="N59" s="1">
        <v>0</v>
      </c>
      <c r="O59" s="1">
        <v>0</v>
      </c>
      <c r="P59" s="1">
        <v>0</v>
      </c>
      <c r="Q59" s="4">
        <v>0</v>
      </c>
    </row>
    <row r="60" spans="1:17" x14ac:dyDescent="0.25">
      <c r="A60" t="s">
        <v>469</v>
      </c>
      <c r="B60" s="1" t="s">
        <v>470</v>
      </c>
      <c r="C60" t="s">
        <v>471</v>
      </c>
      <c r="D60" s="1" t="s">
        <v>20</v>
      </c>
      <c r="E60" s="1">
        <v>2</v>
      </c>
      <c r="F60" s="1">
        <v>0</v>
      </c>
      <c r="G60" s="1">
        <v>0</v>
      </c>
      <c r="H60" s="8">
        <v>2</v>
      </c>
      <c r="J60" t="str">
        <f>"0000000131"</f>
        <v>0000000131</v>
      </c>
      <c r="K60" t="str">
        <f>"MYLORA041"</f>
        <v>MYLORA041</v>
      </c>
      <c r="L60" t="s">
        <v>471</v>
      </c>
      <c r="M60" t="s">
        <v>20</v>
      </c>
      <c r="N60" s="1">
        <v>0</v>
      </c>
      <c r="O60" s="1">
        <v>0</v>
      </c>
      <c r="P60" s="1">
        <v>0</v>
      </c>
      <c r="Q60" s="8">
        <v>0</v>
      </c>
    </row>
    <row r="61" spans="1:17" x14ac:dyDescent="0.25">
      <c r="A61" t="s">
        <v>67</v>
      </c>
      <c r="B61" s="1">
        <v>1357</v>
      </c>
      <c r="C61" t="s">
        <v>465</v>
      </c>
      <c r="D61" s="1" t="s">
        <v>20</v>
      </c>
      <c r="E61" s="1">
        <v>103</v>
      </c>
      <c r="F61" s="1">
        <v>0</v>
      </c>
      <c r="G61" s="1">
        <v>2</v>
      </c>
      <c r="H61" s="4">
        <v>101</v>
      </c>
      <c r="J61" t="str">
        <f>"0000000207"</f>
        <v>0000000207</v>
      </c>
      <c r="K61" t="str">
        <f>"0000001357"</f>
        <v>0000001357</v>
      </c>
      <c r="L61" t="s">
        <v>465</v>
      </c>
      <c r="M61" t="s">
        <v>20</v>
      </c>
      <c r="N61" s="1">
        <v>103</v>
      </c>
      <c r="O61" s="1">
        <v>0</v>
      </c>
      <c r="P61" s="1">
        <v>-2</v>
      </c>
      <c r="Q61" s="4">
        <v>101</v>
      </c>
    </row>
    <row r="62" spans="1:17" x14ac:dyDescent="0.25">
      <c r="A62" t="s">
        <v>212</v>
      </c>
      <c r="B62" s="1">
        <v>1888</v>
      </c>
      <c r="C62" t="s">
        <v>493</v>
      </c>
      <c r="D62" s="1" t="s">
        <v>39</v>
      </c>
      <c r="E62" s="1">
        <v>2</v>
      </c>
      <c r="F62" s="1">
        <v>0</v>
      </c>
      <c r="G62" s="1">
        <v>0</v>
      </c>
      <c r="H62" s="4">
        <v>2</v>
      </c>
      <c r="J62" t="str">
        <f>"0000000669"</f>
        <v>0000000669</v>
      </c>
      <c r="K62" t="str">
        <f>"0000001888"</f>
        <v>0000001888</v>
      </c>
      <c r="L62" t="s">
        <v>493</v>
      </c>
      <c r="M62" t="s">
        <v>39</v>
      </c>
      <c r="N62" s="1">
        <v>2</v>
      </c>
      <c r="O62" s="1">
        <v>0</v>
      </c>
      <c r="P62" s="1">
        <v>0</v>
      </c>
      <c r="Q62" s="4">
        <v>2</v>
      </c>
    </row>
    <row r="63" spans="1:17" x14ac:dyDescent="0.25">
      <c r="A63" t="s">
        <v>8</v>
      </c>
      <c r="B63" s="1">
        <v>27</v>
      </c>
      <c r="C63" t="s">
        <v>266</v>
      </c>
      <c r="D63" s="1" t="s">
        <v>16</v>
      </c>
      <c r="E63" s="1">
        <v>0</v>
      </c>
      <c r="F63" s="1">
        <v>0</v>
      </c>
      <c r="G63" s="1">
        <v>0</v>
      </c>
      <c r="H63" s="4">
        <v>0</v>
      </c>
      <c r="J63" t="str">
        <f>"0000000656"</f>
        <v>0000000656</v>
      </c>
      <c r="K63" t="str">
        <f>"27"</f>
        <v>27</v>
      </c>
      <c r="L63" t="s">
        <v>266</v>
      </c>
      <c r="M63" t="s">
        <v>16</v>
      </c>
      <c r="N63" s="1">
        <v>0</v>
      </c>
      <c r="O63" s="1">
        <v>0</v>
      </c>
      <c r="P63" s="1">
        <v>0</v>
      </c>
      <c r="Q63" s="4">
        <v>0</v>
      </c>
    </row>
    <row r="64" spans="1:17" x14ac:dyDescent="0.25">
      <c r="A64" t="s">
        <v>8</v>
      </c>
      <c r="B64" s="1" t="s">
        <v>209</v>
      </c>
      <c r="C64" t="s">
        <v>210</v>
      </c>
      <c r="D64" s="1" t="s">
        <v>16</v>
      </c>
      <c r="E64" s="1">
        <v>0</v>
      </c>
      <c r="F64" s="1">
        <v>0</v>
      </c>
      <c r="G64" s="1">
        <v>0</v>
      </c>
      <c r="H64" s="4">
        <v>0</v>
      </c>
      <c r="J64" t="str">
        <f>"0000000699"</f>
        <v>0000000699</v>
      </c>
      <c r="K64" t="str">
        <f>"MYLORA374"</f>
        <v>MYLORA374</v>
      </c>
      <c r="L64" t="s">
        <v>210</v>
      </c>
      <c r="M64" t="s">
        <v>16</v>
      </c>
      <c r="N64" s="1">
        <v>0</v>
      </c>
      <c r="O64" s="1">
        <v>0</v>
      </c>
      <c r="P64" s="1">
        <v>0</v>
      </c>
      <c r="Q64" s="4">
        <v>0</v>
      </c>
    </row>
    <row r="65" spans="1:17" x14ac:dyDescent="0.25">
      <c r="A65" t="s">
        <v>8</v>
      </c>
      <c r="B65" s="1">
        <v>433</v>
      </c>
      <c r="C65" t="s">
        <v>223</v>
      </c>
      <c r="D65" s="1" t="s">
        <v>16</v>
      </c>
      <c r="E65" s="1">
        <v>2</v>
      </c>
      <c r="F65" s="1">
        <v>0</v>
      </c>
      <c r="G65" s="1">
        <v>0</v>
      </c>
      <c r="H65" s="4">
        <v>2</v>
      </c>
      <c r="J65" t="str">
        <f>"0000000687"</f>
        <v>0000000687</v>
      </c>
      <c r="K65" t="str">
        <f>"433"</f>
        <v>433</v>
      </c>
      <c r="L65" t="s">
        <v>223</v>
      </c>
      <c r="M65" t="s">
        <v>16</v>
      </c>
      <c r="N65" s="1">
        <v>2</v>
      </c>
      <c r="O65" s="1">
        <v>0</v>
      </c>
      <c r="P65" s="1">
        <v>0</v>
      </c>
      <c r="Q65" s="4">
        <v>2</v>
      </c>
    </row>
    <row r="66" spans="1:17" x14ac:dyDescent="0.25">
      <c r="A66" t="s">
        <v>37</v>
      </c>
      <c r="B66" s="1">
        <v>996</v>
      </c>
      <c r="C66" t="s">
        <v>38</v>
      </c>
      <c r="D66" s="1" t="s">
        <v>39</v>
      </c>
      <c r="E66" s="1">
        <v>7</v>
      </c>
      <c r="F66" s="1">
        <v>0</v>
      </c>
      <c r="G66" s="1">
        <v>0</v>
      </c>
      <c r="H66" s="4">
        <v>7</v>
      </c>
      <c r="J66" t="str">
        <f>"0000000385"</f>
        <v>0000000385</v>
      </c>
      <c r="K66" t="str">
        <f>"0000000996"</f>
        <v>0000000996</v>
      </c>
      <c r="L66" t="s">
        <v>38</v>
      </c>
      <c r="M66" t="s">
        <v>39</v>
      </c>
      <c r="N66" s="1">
        <v>7</v>
      </c>
      <c r="O66" s="1">
        <v>0</v>
      </c>
      <c r="P66" s="1">
        <v>0</v>
      </c>
      <c r="Q66" s="4">
        <v>7</v>
      </c>
    </row>
    <row r="67" spans="1:17" x14ac:dyDescent="0.25">
      <c r="A67" t="s">
        <v>8</v>
      </c>
      <c r="B67" s="1" t="s">
        <v>296</v>
      </c>
      <c r="C67" t="s">
        <v>297</v>
      </c>
      <c r="D67" s="1" t="s">
        <v>39</v>
      </c>
      <c r="E67" s="1">
        <v>15</v>
      </c>
      <c r="F67" s="1">
        <v>0</v>
      </c>
      <c r="G67" s="1">
        <v>0</v>
      </c>
      <c r="H67" s="4">
        <v>15</v>
      </c>
      <c r="J67" t="str">
        <f>"0000000504"</f>
        <v>0000000504</v>
      </c>
      <c r="K67" t="str">
        <f>"MYLORA240"</f>
        <v>MYLORA240</v>
      </c>
      <c r="L67" t="s">
        <v>297</v>
      </c>
      <c r="M67" t="s">
        <v>39</v>
      </c>
      <c r="N67" s="1">
        <v>15</v>
      </c>
      <c r="O67" s="1">
        <v>0</v>
      </c>
      <c r="P67" s="1">
        <v>0</v>
      </c>
      <c r="Q67" s="4">
        <v>15</v>
      </c>
    </row>
    <row r="68" spans="1:17" x14ac:dyDescent="0.25">
      <c r="A68" t="s">
        <v>8</v>
      </c>
      <c r="B68" s="1">
        <v>533</v>
      </c>
      <c r="C68" t="s">
        <v>214</v>
      </c>
      <c r="D68" s="1" t="s">
        <v>197</v>
      </c>
      <c r="E68" s="1">
        <v>0</v>
      </c>
      <c r="F68" s="1">
        <v>0</v>
      </c>
      <c r="G68" s="1">
        <v>0</v>
      </c>
      <c r="H68" s="4">
        <v>0</v>
      </c>
      <c r="J68" t="str">
        <f>"0000000091"</f>
        <v>0000000091</v>
      </c>
      <c r="K68" t="str">
        <f>"533"</f>
        <v>533</v>
      </c>
      <c r="L68" t="s">
        <v>214</v>
      </c>
      <c r="M68" t="s">
        <v>197</v>
      </c>
      <c r="N68" s="1">
        <v>0</v>
      </c>
      <c r="O68" s="1">
        <v>0</v>
      </c>
      <c r="P68" s="1">
        <v>0</v>
      </c>
      <c r="Q68" s="4">
        <v>0</v>
      </c>
    </row>
    <row r="69" spans="1:17" x14ac:dyDescent="0.25">
      <c r="A69" t="s">
        <v>242</v>
      </c>
      <c r="B69" s="1" t="s">
        <v>487</v>
      </c>
      <c r="C69" t="s">
        <v>488</v>
      </c>
      <c r="D69" s="1" t="s">
        <v>39</v>
      </c>
      <c r="E69" s="1">
        <v>0</v>
      </c>
      <c r="F69" s="1">
        <v>0</v>
      </c>
      <c r="G69" s="1">
        <v>0</v>
      </c>
      <c r="H69" s="4">
        <v>0</v>
      </c>
      <c r="J69" t="str">
        <f>"0000000624"</f>
        <v>0000000624</v>
      </c>
      <c r="K69" t="str">
        <f>"MYLORA340"</f>
        <v>MYLORA340</v>
      </c>
      <c r="L69" t="s">
        <v>488</v>
      </c>
      <c r="M69" t="s">
        <v>39</v>
      </c>
      <c r="N69" s="1">
        <v>0</v>
      </c>
      <c r="O69" s="1">
        <v>0</v>
      </c>
      <c r="P69" s="1">
        <v>0</v>
      </c>
      <c r="Q69" s="4">
        <v>0</v>
      </c>
    </row>
    <row r="70" spans="1:17" x14ac:dyDescent="0.25">
      <c r="A70" t="s">
        <v>123</v>
      </c>
      <c r="B70" s="1" t="s">
        <v>124</v>
      </c>
      <c r="C70" t="s">
        <v>125</v>
      </c>
      <c r="D70" s="1" t="s">
        <v>10</v>
      </c>
      <c r="E70" s="1">
        <v>1.75</v>
      </c>
      <c r="F70" s="1">
        <v>0</v>
      </c>
      <c r="G70" s="1">
        <v>0</v>
      </c>
      <c r="H70" s="8">
        <v>1.75</v>
      </c>
      <c r="J70" t="str">
        <f>"0000000374"</f>
        <v>0000000374</v>
      </c>
      <c r="K70" t="str">
        <f>"MYLORA375"</f>
        <v>MYLORA375</v>
      </c>
      <c r="L70" t="s">
        <v>125</v>
      </c>
      <c r="M70" t="s">
        <v>10</v>
      </c>
      <c r="N70" s="1">
        <v>1.25</v>
      </c>
      <c r="O70" s="1">
        <v>0</v>
      </c>
      <c r="P70" s="1">
        <v>0</v>
      </c>
      <c r="Q70" s="8">
        <v>1.25</v>
      </c>
    </row>
    <row r="71" spans="1:17" x14ac:dyDescent="0.25">
      <c r="A71" t="s">
        <v>368</v>
      </c>
      <c r="B71" s="1" t="s">
        <v>369</v>
      </c>
      <c r="C71" t="s">
        <v>370</v>
      </c>
      <c r="D71" s="1" t="s">
        <v>12</v>
      </c>
      <c r="E71" s="1">
        <v>0</v>
      </c>
      <c r="F71" s="1">
        <v>0</v>
      </c>
      <c r="G71" s="1">
        <v>0</v>
      </c>
      <c r="H71" s="4">
        <v>0</v>
      </c>
      <c r="J71" t="str">
        <f>"0000000732"</f>
        <v>0000000732</v>
      </c>
      <c r="K71" t="str">
        <f>"MYLORA376"</f>
        <v>MYLORA376</v>
      </c>
      <c r="L71" t="s">
        <v>370</v>
      </c>
      <c r="M71" t="s">
        <v>12</v>
      </c>
      <c r="N71" s="1">
        <v>0</v>
      </c>
      <c r="O71" s="1">
        <v>0</v>
      </c>
      <c r="P71" s="1">
        <v>0</v>
      </c>
      <c r="Q71" s="4">
        <v>0</v>
      </c>
    </row>
    <row r="72" spans="1:17" x14ac:dyDescent="0.25">
      <c r="A72" t="s">
        <v>8</v>
      </c>
      <c r="B72" s="1">
        <v>194</v>
      </c>
      <c r="C72" t="s">
        <v>573</v>
      </c>
      <c r="D72" s="1" t="s">
        <v>16</v>
      </c>
      <c r="E72" s="1">
        <v>22</v>
      </c>
      <c r="F72" s="1">
        <v>0</v>
      </c>
      <c r="G72" s="1">
        <v>0</v>
      </c>
      <c r="H72" s="4">
        <v>22</v>
      </c>
      <c r="J72" t="str">
        <f>"0000000467"</f>
        <v>0000000467</v>
      </c>
      <c r="K72" t="str">
        <f>"194"</f>
        <v>194</v>
      </c>
      <c r="L72" t="s">
        <v>573</v>
      </c>
      <c r="M72" t="s">
        <v>16</v>
      </c>
      <c r="N72" s="1">
        <v>22</v>
      </c>
      <c r="O72" s="1">
        <v>0</v>
      </c>
      <c r="P72" s="1">
        <v>0</v>
      </c>
      <c r="Q72" s="4">
        <v>22</v>
      </c>
    </row>
    <row r="73" spans="1:17" x14ac:dyDescent="0.25">
      <c r="A73" t="s">
        <v>28</v>
      </c>
      <c r="B73" s="1" t="s">
        <v>541</v>
      </c>
      <c r="C73" t="s">
        <v>542</v>
      </c>
      <c r="D73" s="1" t="s">
        <v>39</v>
      </c>
      <c r="E73" s="1">
        <v>2</v>
      </c>
      <c r="F73" s="1">
        <v>0</v>
      </c>
      <c r="G73" s="1">
        <v>0</v>
      </c>
      <c r="H73" s="4">
        <v>2</v>
      </c>
      <c r="J73" t="str">
        <f>"0000000444"</f>
        <v>0000000444</v>
      </c>
      <c r="K73" t="str">
        <f>"MYLORA045"</f>
        <v>MYLORA045</v>
      </c>
      <c r="L73" t="s">
        <v>542</v>
      </c>
      <c r="M73" t="s">
        <v>39</v>
      </c>
      <c r="N73" s="1">
        <v>2</v>
      </c>
      <c r="O73" s="1">
        <v>0</v>
      </c>
      <c r="P73" s="1">
        <v>0</v>
      </c>
      <c r="Q73" s="4">
        <v>2</v>
      </c>
    </row>
    <row r="74" spans="1:17" x14ac:dyDescent="0.25">
      <c r="A74" t="s">
        <v>8</v>
      </c>
      <c r="B74" s="1">
        <v>160</v>
      </c>
      <c r="C74" t="s">
        <v>390</v>
      </c>
      <c r="D74" s="1" t="s">
        <v>10</v>
      </c>
      <c r="E74" s="1">
        <v>1</v>
      </c>
      <c r="F74" s="1">
        <v>0</v>
      </c>
      <c r="G74" s="1">
        <v>0</v>
      </c>
      <c r="H74" s="4">
        <v>1</v>
      </c>
      <c r="J74" t="str">
        <f>"0000000836"</f>
        <v>0000000836</v>
      </c>
      <c r="K74" t="str">
        <f>"160"</f>
        <v>160</v>
      </c>
      <c r="L74" t="s">
        <v>390</v>
      </c>
      <c r="M74" t="s">
        <v>10</v>
      </c>
      <c r="N74" s="1">
        <v>1</v>
      </c>
      <c r="O74" s="1">
        <v>0</v>
      </c>
      <c r="P74" s="1">
        <v>0</v>
      </c>
      <c r="Q74" s="4">
        <v>1</v>
      </c>
    </row>
    <row r="75" spans="1:17" x14ac:dyDescent="0.25">
      <c r="A75" t="s">
        <v>87</v>
      </c>
      <c r="B75" s="1">
        <v>1543</v>
      </c>
      <c r="C75" t="s">
        <v>88</v>
      </c>
      <c r="D75" s="1" t="s">
        <v>89</v>
      </c>
      <c r="E75" s="1">
        <v>0</v>
      </c>
      <c r="F75" s="1">
        <v>0</v>
      </c>
      <c r="G75" s="1">
        <v>0</v>
      </c>
      <c r="H75" s="4">
        <v>0</v>
      </c>
      <c r="J75" t="str">
        <f>"0000001062"</f>
        <v>0000001062</v>
      </c>
      <c r="K75" t="str">
        <f>"0000001543"</f>
        <v>0000001543</v>
      </c>
      <c r="L75" t="s">
        <v>88</v>
      </c>
      <c r="M75" t="s">
        <v>89</v>
      </c>
      <c r="N75" s="1">
        <v>0</v>
      </c>
      <c r="O75" s="1">
        <v>0</v>
      </c>
      <c r="P75" s="1">
        <v>0</v>
      </c>
      <c r="Q75" s="4">
        <v>0</v>
      </c>
    </row>
    <row r="76" spans="1:17" x14ac:dyDescent="0.25">
      <c r="A76" t="s">
        <v>237</v>
      </c>
      <c r="B76" s="1" t="s">
        <v>238</v>
      </c>
      <c r="C76" t="s">
        <v>239</v>
      </c>
      <c r="D76" s="1" t="s">
        <v>12</v>
      </c>
      <c r="E76" s="1">
        <v>0</v>
      </c>
      <c r="F76" s="1">
        <v>0</v>
      </c>
      <c r="G76" s="1">
        <v>0</v>
      </c>
      <c r="H76" s="4">
        <v>0</v>
      </c>
      <c r="J76" t="str">
        <f>"0000000652"</f>
        <v>0000000652</v>
      </c>
      <c r="K76" t="str">
        <f>"MYLORA345"</f>
        <v>MYLORA345</v>
      </c>
      <c r="L76" t="s">
        <v>239</v>
      </c>
      <c r="M76" t="s">
        <v>12</v>
      </c>
      <c r="N76" s="1">
        <v>0</v>
      </c>
      <c r="O76" s="1">
        <v>0</v>
      </c>
      <c r="P76" s="1">
        <v>0</v>
      </c>
      <c r="Q76" s="4">
        <v>0</v>
      </c>
    </row>
    <row r="77" spans="1:17" x14ac:dyDescent="0.25">
      <c r="A77" t="s">
        <v>457</v>
      </c>
      <c r="B77" s="1" t="s">
        <v>458</v>
      </c>
      <c r="C77" t="s">
        <v>459</v>
      </c>
      <c r="D77" s="1" t="s">
        <v>10</v>
      </c>
      <c r="E77" s="1">
        <v>2</v>
      </c>
      <c r="F77" s="1">
        <v>0</v>
      </c>
      <c r="G77" s="1">
        <v>0</v>
      </c>
      <c r="H77" s="4">
        <v>2</v>
      </c>
      <c r="J77" t="str">
        <f>"0000000870"</f>
        <v>0000000870</v>
      </c>
      <c r="K77" t="str">
        <f>"MYLORA346"</f>
        <v>MYLORA346</v>
      </c>
      <c r="L77" t="s">
        <v>459</v>
      </c>
      <c r="M77" t="s">
        <v>10</v>
      </c>
      <c r="N77" s="1">
        <v>2</v>
      </c>
      <c r="O77" s="1">
        <v>0</v>
      </c>
      <c r="P77" s="1">
        <v>0</v>
      </c>
      <c r="Q77" s="4">
        <v>2</v>
      </c>
    </row>
    <row r="78" spans="1:17" x14ac:dyDescent="0.25">
      <c r="A78" t="s">
        <v>219</v>
      </c>
      <c r="B78" s="1">
        <v>1408</v>
      </c>
      <c r="C78" t="s">
        <v>527</v>
      </c>
      <c r="D78" s="1" t="s">
        <v>51</v>
      </c>
      <c r="E78" s="1">
        <v>0</v>
      </c>
      <c r="F78" s="1">
        <v>0</v>
      </c>
      <c r="G78" s="1">
        <v>0</v>
      </c>
      <c r="H78" s="4">
        <v>0</v>
      </c>
      <c r="J78" t="str">
        <f>"0000000604"</f>
        <v>0000000604</v>
      </c>
      <c r="K78" t="str">
        <f>"0000001408"</f>
        <v>0000001408</v>
      </c>
      <c r="L78" t="s">
        <v>527</v>
      </c>
      <c r="M78" t="s">
        <v>51</v>
      </c>
      <c r="N78" s="1">
        <v>0</v>
      </c>
      <c r="O78" s="1">
        <v>0</v>
      </c>
      <c r="P78" s="1">
        <v>0</v>
      </c>
      <c r="Q78" s="4">
        <v>0</v>
      </c>
    </row>
    <row r="79" spans="1:17" x14ac:dyDescent="0.25">
      <c r="A79" t="s">
        <v>212</v>
      </c>
      <c r="B79" s="1">
        <v>1882</v>
      </c>
      <c r="C79" t="s">
        <v>213</v>
      </c>
      <c r="D79" s="1" t="s">
        <v>20</v>
      </c>
      <c r="E79" s="1">
        <v>2</v>
      </c>
      <c r="F79" s="1">
        <v>0</v>
      </c>
      <c r="G79" s="1">
        <v>0</v>
      </c>
      <c r="H79" s="4">
        <v>2</v>
      </c>
      <c r="J79" t="str">
        <f>"0000000620"</f>
        <v>0000000620</v>
      </c>
      <c r="K79" t="str">
        <f>"0000001882"</f>
        <v>0000001882</v>
      </c>
      <c r="L79" t="s">
        <v>213</v>
      </c>
      <c r="M79" t="s">
        <v>20</v>
      </c>
      <c r="N79" s="1">
        <v>2</v>
      </c>
      <c r="O79" s="1">
        <v>0</v>
      </c>
      <c r="P79" s="1">
        <v>0</v>
      </c>
      <c r="Q79" s="4">
        <v>2</v>
      </c>
    </row>
    <row r="80" spans="1:17" x14ac:dyDescent="0.25">
      <c r="A80" t="s">
        <v>101</v>
      </c>
      <c r="B80" s="1" t="s">
        <v>357</v>
      </c>
      <c r="C80" t="s">
        <v>358</v>
      </c>
      <c r="D80" s="1" t="s">
        <v>39</v>
      </c>
      <c r="E80" s="1">
        <v>0</v>
      </c>
      <c r="F80" s="1">
        <v>0</v>
      </c>
      <c r="G80" s="1">
        <v>0</v>
      </c>
      <c r="H80" s="4">
        <v>0</v>
      </c>
      <c r="J80" t="str">
        <f>"0000000047"</f>
        <v>0000000047</v>
      </c>
      <c r="K80" t="str">
        <f>"MYLORA327"</f>
        <v>MYLORA327</v>
      </c>
      <c r="L80" t="s">
        <v>358</v>
      </c>
      <c r="M80" t="s">
        <v>39</v>
      </c>
      <c r="N80" s="1">
        <v>0</v>
      </c>
      <c r="O80" s="1">
        <v>0</v>
      </c>
      <c r="P80" s="1">
        <v>0</v>
      </c>
      <c r="Q80" s="4">
        <v>0</v>
      </c>
    </row>
    <row r="81" spans="1:17" x14ac:dyDescent="0.25">
      <c r="A81" t="s">
        <v>8</v>
      </c>
      <c r="B81" s="1">
        <v>1444</v>
      </c>
      <c r="C81" t="s">
        <v>340</v>
      </c>
      <c r="D81" s="1" t="s">
        <v>39</v>
      </c>
      <c r="E81" s="1">
        <v>0</v>
      </c>
      <c r="F81" s="1">
        <v>0</v>
      </c>
      <c r="G81" s="1">
        <v>0</v>
      </c>
      <c r="H81" s="4">
        <v>0</v>
      </c>
      <c r="J81" t="str">
        <f>"0000000331"</f>
        <v>0000000331</v>
      </c>
      <c r="K81" t="str">
        <f>"0000001444"</f>
        <v>0000001444</v>
      </c>
      <c r="L81" t="s">
        <v>340</v>
      </c>
      <c r="M81" t="s">
        <v>39</v>
      </c>
      <c r="N81" s="1">
        <v>0</v>
      </c>
      <c r="O81" s="1">
        <v>0</v>
      </c>
      <c r="P81" s="1">
        <v>0</v>
      </c>
      <c r="Q81" s="4">
        <v>0</v>
      </c>
    </row>
    <row r="82" spans="1:17" x14ac:dyDescent="0.25">
      <c r="A82" t="s">
        <v>37</v>
      </c>
      <c r="B82" s="1">
        <v>195</v>
      </c>
      <c r="C82" t="s">
        <v>460</v>
      </c>
      <c r="D82" s="1" t="s">
        <v>39</v>
      </c>
      <c r="E82" s="1">
        <v>37</v>
      </c>
      <c r="F82" s="1">
        <v>0</v>
      </c>
      <c r="G82" s="1">
        <v>0</v>
      </c>
      <c r="H82" s="4">
        <v>37</v>
      </c>
      <c r="J82" t="str">
        <f>"0000000125"</f>
        <v>0000000125</v>
      </c>
      <c r="K82" t="str">
        <f>"195"</f>
        <v>195</v>
      </c>
      <c r="L82" t="s">
        <v>460</v>
      </c>
      <c r="M82" t="s">
        <v>39</v>
      </c>
      <c r="N82" s="1">
        <v>37</v>
      </c>
      <c r="O82" s="1">
        <v>0</v>
      </c>
      <c r="P82" s="1">
        <v>0</v>
      </c>
      <c r="Q82" s="4">
        <v>37</v>
      </c>
    </row>
    <row r="83" spans="1:17" x14ac:dyDescent="0.25">
      <c r="A83" t="s">
        <v>8</v>
      </c>
      <c r="B83" s="1">
        <v>4809010566836</v>
      </c>
      <c r="C83" t="s">
        <v>298</v>
      </c>
      <c r="D83" s="1" t="s">
        <v>39</v>
      </c>
      <c r="E83" s="1">
        <v>66</v>
      </c>
      <c r="F83" s="1">
        <v>0</v>
      </c>
      <c r="G83" s="1">
        <v>0</v>
      </c>
      <c r="H83" s="4">
        <v>66</v>
      </c>
      <c r="J83" t="str">
        <f>"0000000270"</f>
        <v>0000000270</v>
      </c>
      <c r="K83" t="str">
        <f>"4809010566836"</f>
        <v>4809010566836</v>
      </c>
      <c r="L83" t="s">
        <v>298</v>
      </c>
      <c r="M83" t="s">
        <v>39</v>
      </c>
      <c r="N83" s="1">
        <v>66</v>
      </c>
      <c r="O83" s="1">
        <v>0</v>
      </c>
      <c r="P83" s="1">
        <v>0</v>
      </c>
      <c r="Q83" s="4">
        <v>66</v>
      </c>
    </row>
    <row r="84" spans="1:17" x14ac:dyDescent="0.25">
      <c r="A84" t="s">
        <v>8</v>
      </c>
      <c r="B84" s="1">
        <v>990</v>
      </c>
      <c r="C84" t="s">
        <v>309</v>
      </c>
      <c r="D84" s="1" t="s">
        <v>16</v>
      </c>
      <c r="E84" s="1">
        <v>0</v>
      </c>
      <c r="F84" s="1">
        <v>0</v>
      </c>
      <c r="G84" s="1">
        <v>0</v>
      </c>
      <c r="H84" s="4">
        <v>0</v>
      </c>
      <c r="J84" t="str">
        <f>"0000000147"</f>
        <v>0000000147</v>
      </c>
      <c r="K84" t="str">
        <f>"0000000990"</f>
        <v>0000000990</v>
      </c>
      <c r="L84" t="s">
        <v>309</v>
      </c>
      <c r="M84" t="s">
        <v>16</v>
      </c>
      <c r="N84" s="1">
        <v>0</v>
      </c>
      <c r="O84" s="1">
        <v>0</v>
      </c>
      <c r="P84" s="1">
        <v>0</v>
      </c>
      <c r="Q84" s="4">
        <v>0</v>
      </c>
    </row>
    <row r="85" spans="1:17" x14ac:dyDescent="0.25">
      <c r="A85" t="s">
        <v>8</v>
      </c>
      <c r="B85" s="1">
        <v>838</v>
      </c>
      <c r="C85" t="s">
        <v>200</v>
      </c>
      <c r="D85" s="1" t="s">
        <v>20</v>
      </c>
      <c r="E85" s="1">
        <v>0</v>
      </c>
      <c r="F85" s="1">
        <v>0</v>
      </c>
      <c r="G85" s="1">
        <v>0</v>
      </c>
      <c r="H85" s="4">
        <v>0</v>
      </c>
      <c r="J85" t="str">
        <f>"0000000287"</f>
        <v>0000000287</v>
      </c>
      <c r="K85" t="str">
        <f>"838"</f>
        <v>838</v>
      </c>
      <c r="L85" t="s">
        <v>200</v>
      </c>
      <c r="M85" t="s">
        <v>20</v>
      </c>
      <c r="N85" s="1">
        <v>0</v>
      </c>
      <c r="O85" s="1">
        <v>0</v>
      </c>
      <c r="P85" s="1">
        <v>0</v>
      </c>
      <c r="Q85" s="4">
        <v>0</v>
      </c>
    </row>
    <row r="86" spans="1:17" x14ac:dyDescent="0.25">
      <c r="A86" t="s">
        <v>8</v>
      </c>
      <c r="B86" s="1">
        <v>692</v>
      </c>
      <c r="C86" t="s">
        <v>265</v>
      </c>
      <c r="D86" s="1" t="s">
        <v>16</v>
      </c>
      <c r="E86" s="1">
        <v>0</v>
      </c>
      <c r="F86" s="1">
        <v>0</v>
      </c>
      <c r="G86" s="1">
        <v>0</v>
      </c>
      <c r="H86" s="4">
        <v>0</v>
      </c>
      <c r="J86" t="str">
        <f>"0000000139"</f>
        <v>0000000139</v>
      </c>
      <c r="K86" t="str">
        <f>"692"</f>
        <v>692</v>
      </c>
      <c r="L86" t="s">
        <v>265</v>
      </c>
      <c r="M86" t="s">
        <v>16</v>
      </c>
      <c r="N86" s="1">
        <v>0</v>
      </c>
      <c r="O86" s="1">
        <v>0</v>
      </c>
      <c r="P86" s="1">
        <v>0</v>
      </c>
      <c r="Q86" s="4">
        <v>0</v>
      </c>
    </row>
    <row r="87" spans="1:17" x14ac:dyDescent="0.25">
      <c r="A87" t="s">
        <v>8</v>
      </c>
      <c r="B87" s="1" t="s">
        <v>341</v>
      </c>
      <c r="C87" t="s">
        <v>342</v>
      </c>
      <c r="D87" s="1" t="s">
        <v>20</v>
      </c>
      <c r="E87" s="1">
        <v>0</v>
      </c>
      <c r="F87" s="1">
        <v>0</v>
      </c>
      <c r="G87" s="1">
        <v>0</v>
      </c>
      <c r="H87" s="4">
        <v>0</v>
      </c>
      <c r="J87" t="str">
        <f>"0000000098"</f>
        <v>0000000098</v>
      </c>
      <c r="K87" t="str">
        <f>"MYLORA051"</f>
        <v>MYLORA051</v>
      </c>
      <c r="L87" t="s">
        <v>342</v>
      </c>
      <c r="M87" t="s">
        <v>20</v>
      </c>
      <c r="N87" s="1">
        <v>0</v>
      </c>
      <c r="O87" s="1">
        <v>0</v>
      </c>
      <c r="P87" s="1">
        <v>0</v>
      </c>
      <c r="Q87" s="4">
        <v>0</v>
      </c>
    </row>
    <row r="88" spans="1:17" x14ac:dyDescent="0.25">
      <c r="A88" t="s">
        <v>8</v>
      </c>
      <c r="B88" s="1" t="s">
        <v>299</v>
      </c>
      <c r="C88" t="s">
        <v>300</v>
      </c>
      <c r="D88" s="1" t="s">
        <v>16</v>
      </c>
      <c r="E88" s="1">
        <v>0</v>
      </c>
      <c r="F88" s="1">
        <v>0</v>
      </c>
      <c r="G88" s="1">
        <v>0</v>
      </c>
      <c r="H88" s="4">
        <v>0</v>
      </c>
      <c r="J88" t="str">
        <f>"0000000274"</f>
        <v>0000000274</v>
      </c>
      <c r="K88" t="str">
        <f>"MYLORA052"</f>
        <v>MYLORA052</v>
      </c>
      <c r="L88" t="s">
        <v>300</v>
      </c>
      <c r="M88" t="s">
        <v>16</v>
      </c>
      <c r="N88" s="1">
        <v>0</v>
      </c>
      <c r="O88" s="1">
        <v>0</v>
      </c>
      <c r="P88" s="1">
        <v>0</v>
      </c>
      <c r="Q88" s="4">
        <v>0</v>
      </c>
    </row>
    <row r="89" spans="1:17" x14ac:dyDescent="0.25">
      <c r="A89" t="s">
        <v>126</v>
      </c>
      <c r="B89" s="1" t="s">
        <v>194</v>
      </c>
      <c r="C89" t="s">
        <v>195</v>
      </c>
      <c r="D89" s="1" t="s">
        <v>20</v>
      </c>
      <c r="E89" s="1">
        <v>1</v>
      </c>
      <c r="F89" s="1">
        <v>0</v>
      </c>
      <c r="G89" s="1">
        <v>0</v>
      </c>
      <c r="H89" s="4">
        <v>1</v>
      </c>
      <c r="J89" t="str">
        <f>"0000000138"</f>
        <v>0000000138</v>
      </c>
      <c r="K89" t="str">
        <f>"MYLORA053"</f>
        <v>MYLORA053</v>
      </c>
      <c r="L89" t="s">
        <v>195</v>
      </c>
      <c r="M89" t="s">
        <v>20</v>
      </c>
      <c r="N89" s="1">
        <v>1</v>
      </c>
      <c r="O89" s="1">
        <v>0</v>
      </c>
      <c r="P89" s="1">
        <v>0</v>
      </c>
      <c r="Q89" s="4">
        <v>1</v>
      </c>
    </row>
    <row r="90" spans="1:17" x14ac:dyDescent="0.25">
      <c r="A90" t="s">
        <v>129</v>
      </c>
      <c r="B90" s="1" t="s">
        <v>130</v>
      </c>
      <c r="C90" t="s">
        <v>131</v>
      </c>
      <c r="D90" s="1" t="s">
        <v>16</v>
      </c>
      <c r="E90" s="1">
        <v>47</v>
      </c>
      <c r="F90" s="1">
        <v>0</v>
      </c>
      <c r="G90" s="1">
        <v>0</v>
      </c>
      <c r="H90" s="4">
        <v>47</v>
      </c>
      <c r="J90" t="str">
        <f>"0000000277"</f>
        <v>0000000277</v>
      </c>
      <c r="K90" t="str">
        <f>"MYLORA054"</f>
        <v>MYLORA054</v>
      </c>
      <c r="L90" t="s">
        <v>131</v>
      </c>
      <c r="M90" t="s">
        <v>16</v>
      </c>
      <c r="N90" s="1">
        <v>47</v>
      </c>
      <c r="O90" s="1">
        <v>0</v>
      </c>
      <c r="P90" s="1">
        <v>0</v>
      </c>
      <c r="Q90" s="4">
        <v>47</v>
      </c>
    </row>
    <row r="91" spans="1:17" x14ac:dyDescent="0.25">
      <c r="A91" t="s">
        <v>8</v>
      </c>
      <c r="B91" s="1" t="s">
        <v>148</v>
      </c>
      <c r="C91" t="s">
        <v>149</v>
      </c>
      <c r="D91" s="1" t="s">
        <v>16</v>
      </c>
      <c r="E91" s="1">
        <v>68</v>
      </c>
      <c r="F91" s="1">
        <v>0</v>
      </c>
      <c r="G91" s="1">
        <v>0</v>
      </c>
      <c r="H91" s="4">
        <v>68</v>
      </c>
      <c r="J91" t="str">
        <f>"0000000776"</f>
        <v>0000000776</v>
      </c>
      <c r="K91" t="str">
        <f>"MYLORA237"</f>
        <v>MYLORA237</v>
      </c>
      <c r="L91" t="s">
        <v>149</v>
      </c>
      <c r="M91" t="s">
        <v>16</v>
      </c>
      <c r="N91" s="1">
        <v>68</v>
      </c>
      <c r="O91" s="1">
        <v>0</v>
      </c>
      <c r="P91" s="1">
        <v>0</v>
      </c>
      <c r="Q91" s="4">
        <v>68</v>
      </c>
    </row>
    <row r="92" spans="1:17" x14ac:dyDescent="0.25">
      <c r="A92" t="s">
        <v>97</v>
      </c>
      <c r="B92" s="1" t="s">
        <v>564</v>
      </c>
      <c r="C92" t="s">
        <v>565</v>
      </c>
      <c r="D92" s="1" t="s">
        <v>20</v>
      </c>
      <c r="E92" s="1">
        <v>6</v>
      </c>
      <c r="F92" s="1">
        <v>0</v>
      </c>
      <c r="G92" s="1">
        <v>0</v>
      </c>
      <c r="H92" s="8">
        <v>6</v>
      </c>
      <c r="J92" t="str">
        <f>"0000000886"</f>
        <v>0000000886</v>
      </c>
      <c r="K92" t="str">
        <f>"MYLORA055"</f>
        <v>MYLORA055</v>
      </c>
      <c r="L92" t="s">
        <v>565</v>
      </c>
      <c r="M92" t="s">
        <v>20</v>
      </c>
      <c r="N92" s="1">
        <v>1</v>
      </c>
      <c r="O92" s="1">
        <v>0</v>
      </c>
      <c r="P92" s="1">
        <v>0</v>
      </c>
      <c r="Q92" s="8">
        <v>1</v>
      </c>
    </row>
    <row r="93" spans="1:17" x14ac:dyDescent="0.25">
      <c r="A93" t="s">
        <v>8</v>
      </c>
      <c r="B93" s="1" t="s">
        <v>179</v>
      </c>
      <c r="C93" t="s">
        <v>180</v>
      </c>
      <c r="D93" s="1" t="s">
        <v>16</v>
      </c>
      <c r="E93" s="1">
        <v>38</v>
      </c>
      <c r="F93" s="1">
        <v>0</v>
      </c>
      <c r="G93" s="1">
        <v>0</v>
      </c>
      <c r="H93" s="4">
        <v>38</v>
      </c>
      <c r="J93" t="str">
        <f>"0000000259"</f>
        <v>0000000259</v>
      </c>
      <c r="K93" t="str">
        <f>"MYLORA056"</f>
        <v>MYLORA056</v>
      </c>
      <c r="L93" t="s">
        <v>180</v>
      </c>
      <c r="M93" t="s">
        <v>16</v>
      </c>
      <c r="N93" s="1">
        <v>38</v>
      </c>
      <c r="O93" s="1">
        <v>0</v>
      </c>
      <c r="P93" s="1">
        <v>0</v>
      </c>
      <c r="Q93" s="4">
        <v>38</v>
      </c>
    </row>
    <row r="94" spans="1:17" x14ac:dyDescent="0.25">
      <c r="A94" t="s">
        <v>8</v>
      </c>
      <c r="B94" s="1" t="s">
        <v>343</v>
      </c>
      <c r="C94" t="s">
        <v>344</v>
      </c>
      <c r="D94" s="1" t="s">
        <v>20</v>
      </c>
      <c r="E94" s="1">
        <v>4</v>
      </c>
      <c r="F94" s="1">
        <v>0</v>
      </c>
      <c r="G94" s="1">
        <v>0</v>
      </c>
      <c r="H94" s="4">
        <v>4</v>
      </c>
      <c r="J94" t="str">
        <f>"0000000273"</f>
        <v>0000000273</v>
      </c>
      <c r="K94" t="str">
        <f>"MYLORA057"</f>
        <v>MYLORA057</v>
      </c>
      <c r="L94" t="s">
        <v>344</v>
      </c>
      <c r="M94" t="s">
        <v>20</v>
      </c>
      <c r="N94" s="1">
        <v>4</v>
      </c>
      <c r="O94" s="1">
        <v>0</v>
      </c>
      <c r="P94" s="1">
        <v>0</v>
      </c>
      <c r="Q94" s="4">
        <v>4</v>
      </c>
    </row>
    <row r="95" spans="1:17" x14ac:dyDescent="0.25">
      <c r="A95" t="s">
        <v>112</v>
      </c>
      <c r="B95" s="1">
        <v>1588</v>
      </c>
      <c r="C95" t="s">
        <v>478</v>
      </c>
      <c r="D95" s="1" t="s">
        <v>39</v>
      </c>
      <c r="E95" s="1">
        <v>0</v>
      </c>
      <c r="F95" s="1">
        <v>0</v>
      </c>
      <c r="G95" s="1">
        <v>0</v>
      </c>
      <c r="H95" s="4">
        <v>0</v>
      </c>
      <c r="J95" t="str">
        <f>"0000000070"</f>
        <v>0000000070</v>
      </c>
      <c r="K95" t="str">
        <f>"0000001588"</f>
        <v>0000001588</v>
      </c>
      <c r="L95" t="s">
        <v>478</v>
      </c>
      <c r="M95" t="s">
        <v>39</v>
      </c>
      <c r="N95" s="1">
        <v>0</v>
      </c>
      <c r="O95" s="1">
        <v>0</v>
      </c>
      <c r="P95" s="1">
        <v>0</v>
      </c>
      <c r="Q95" s="4">
        <v>0</v>
      </c>
    </row>
    <row r="96" spans="1:17" x14ac:dyDescent="0.25">
      <c r="A96" t="s">
        <v>112</v>
      </c>
      <c r="B96" s="1">
        <v>1721</v>
      </c>
      <c r="C96" t="s">
        <v>497</v>
      </c>
      <c r="D96" s="1" t="s">
        <v>451</v>
      </c>
      <c r="E96" s="1">
        <v>2</v>
      </c>
      <c r="F96" s="1">
        <v>0</v>
      </c>
      <c r="G96" s="1">
        <v>0</v>
      </c>
      <c r="H96" s="4">
        <v>2</v>
      </c>
      <c r="J96" t="str">
        <f>"0000000704"</f>
        <v>0000000704</v>
      </c>
      <c r="K96" t="str">
        <f>"0000001721"</f>
        <v>0000001721</v>
      </c>
      <c r="L96" t="s">
        <v>497</v>
      </c>
      <c r="M96" t="s">
        <v>451</v>
      </c>
      <c r="N96" s="1">
        <v>2</v>
      </c>
      <c r="O96" s="1">
        <v>0</v>
      </c>
      <c r="P96" s="1">
        <v>0</v>
      </c>
      <c r="Q96" s="4">
        <v>2</v>
      </c>
    </row>
    <row r="97" spans="1:17" x14ac:dyDescent="0.25">
      <c r="A97" t="s">
        <v>8</v>
      </c>
      <c r="B97" s="1" t="s">
        <v>146</v>
      </c>
      <c r="C97" t="s">
        <v>147</v>
      </c>
      <c r="D97" s="1" t="s">
        <v>16</v>
      </c>
      <c r="E97" s="1">
        <v>31</v>
      </c>
      <c r="F97" s="1">
        <v>0</v>
      </c>
      <c r="G97" s="1">
        <v>0</v>
      </c>
      <c r="H97" s="4">
        <v>31</v>
      </c>
      <c r="J97" t="str">
        <f>"0000000739"</f>
        <v>0000000739</v>
      </c>
      <c r="K97" t="str">
        <f>"MYLORA302"</f>
        <v>MYLORA302</v>
      </c>
      <c r="L97" t="s">
        <v>147</v>
      </c>
      <c r="M97" t="s">
        <v>16</v>
      </c>
      <c r="N97" s="1">
        <v>31</v>
      </c>
      <c r="O97" s="1">
        <v>0</v>
      </c>
      <c r="P97" s="1">
        <v>0</v>
      </c>
      <c r="Q97" s="4">
        <v>31</v>
      </c>
    </row>
    <row r="98" spans="1:17" x14ac:dyDescent="0.25">
      <c r="A98" t="s">
        <v>67</v>
      </c>
      <c r="B98" s="1" t="s">
        <v>401</v>
      </c>
      <c r="C98" t="s">
        <v>402</v>
      </c>
      <c r="D98" s="1" t="s">
        <v>20</v>
      </c>
      <c r="E98" s="1">
        <v>7</v>
      </c>
      <c r="F98" s="1">
        <v>0</v>
      </c>
      <c r="G98" s="1">
        <v>0</v>
      </c>
      <c r="H98" s="4">
        <v>7</v>
      </c>
      <c r="J98" t="str">
        <f>"0000000071"</f>
        <v>0000000071</v>
      </c>
      <c r="K98" t="str">
        <f>"MYLORA060"</f>
        <v>MYLORA060</v>
      </c>
      <c r="L98" t="s">
        <v>402</v>
      </c>
      <c r="M98" t="s">
        <v>20</v>
      </c>
      <c r="N98" s="1">
        <v>7</v>
      </c>
      <c r="O98" s="1">
        <v>0</v>
      </c>
      <c r="P98" s="1">
        <v>0</v>
      </c>
      <c r="Q98" s="4">
        <v>7</v>
      </c>
    </row>
    <row r="99" spans="1:17" x14ac:dyDescent="0.25">
      <c r="A99" t="s">
        <v>8</v>
      </c>
      <c r="B99" s="1">
        <v>4</v>
      </c>
      <c r="C99" t="s">
        <v>193</v>
      </c>
      <c r="D99" s="1" t="s">
        <v>16</v>
      </c>
      <c r="E99" s="1">
        <v>0</v>
      </c>
      <c r="F99" s="1">
        <v>0</v>
      </c>
      <c r="G99" s="1">
        <v>0</v>
      </c>
      <c r="H99" s="4">
        <v>0</v>
      </c>
      <c r="J99" t="str">
        <f>"0000000072"</f>
        <v>0000000072</v>
      </c>
      <c r="K99" t="str">
        <f>"04"</f>
        <v>04</v>
      </c>
      <c r="L99" t="s">
        <v>193</v>
      </c>
      <c r="M99" t="s">
        <v>16</v>
      </c>
      <c r="N99" s="1">
        <v>0</v>
      </c>
      <c r="O99" s="1">
        <v>0</v>
      </c>
      <c r="P99" s="1">
        <v>0</v>
      </c>
      <c r="Q99" s="4">
        <v>0</v>
      </c>
    </row>
    <row r="100" spans="1:17" x14ac:dyDescent="0.25">
      <c r="A100" t="s">
        <v>8</v>
      </c>
      <c r="B100" s="1" t="s">
        <v>47</v>
      </c>
      <c r="C100" t="s">
        <v>48</v>
      </c>
      <c r="D100" s="1" t="s">
        <v>49</v>
      </c>
      <c r="E100" s="1">
        <v>0</v>
      </c>
      <c r="F100" s="1">
        <v>0</v>
      </c>
      <c r="G100" s="1">
        <v>0</v>
      </c>
      <c r="H100" s="4">
        <v>0</v>
      </c>
      <c r="J100" t="str">
        <f>"0000000718"</f>
        <v>0000000718</v>
      </c>
      <c r="K100" t="str">
        <f>"MYLORA203"</f>
        <v>MYLORA203</v>
      </c>
      <c r="L100" t="s">
        <v>48</v>
      </c>
      <c r="M100" t="s">
        <v>49</v>
      </c>
      <c r="N100" s="1">
        <v>0</v>
      </c>
      <c r="O100" s="1">
        <v>0</v>
      </c>
      <c r="P100" s="1">
        <v>0</v>
      </c>
      <c r="Q100" s="4">
        <v>0</v>
      </c>
    </row>
    <row r="101" spans="1:17" x14ac:dyDescent="0.25">
      <c r="A101" t="s">
        <v>8</v>
      </c>
      <c r="B101" s="1">
        <v>1293</v>
      </c>
      <c r="C101" t="s">
        <v>433</v>
      </c>
      <c r="D101" s="1" t="s">
        <v>49</v>
      </c>
      <c r="E101" s="1">
        <v>0</v>
      </c>
      <c r="F101" s="1">
        <v>0</v>
      </c>
      <c r="G101" s="1">
        <v>0</v>
      </c>
      <c r="H101" s="4">
        <v>0</v>
      </c>
      <c r="J101" t="str">
        <f>"0000000345"</f>
        <v>0000000345</v>
      </c>
      <c r="K101" t="str">
        <f>"0000001293"</f>
        <v>0000001293</v>
      </c>
      <c r="L101" t="s">
        <v>433</v>
      </c>
      <c r="M101" t="s">
        <v>49</v>
      </c>
      <c r="N101" s="1">
        <v>0</v>
      </c>
      <c r="O101" s="1">
        <v>0</v>
      </c>
      <c r="P101" s="1">
        <v>0</v>
      </c>
      <c r="Q101" s="4">
        <v>0</v>
      </c>
    </row>
    <row r="102" spans="1:17" x14ac:dyDescent="0.25">
      <c r="A102" t="s">
        <v>8</v>
      </c>
      <c r="B102" s="1">
        <v>3</v>
      </c>
      <c r="C102" t="s">
        <v>321</v>
      </c>
      <c r="D102" s="1" t="s">
        <v>16</v>
      </c>
      <c r="E102" s="1">
        <v>0</v>
      </c>
      <c r="F102" s="1">
        <v>0</v>
      </c>
      <c r="G102" s="1">
        <v>0</v>
      </c>
      <c r="H102" s="4">
        <v>0</v>
      </c>
      <c r="J102" t="str">
        <f>"0000000719"</f>
        <v>0000000719</v>
      </c>
      <c r="K102" t="str">
        <f>"03"</f>
        <v>03</v>
      </c>
      <c r="L102" t="s">
        <v>321</v>
      </c>
      <c r="M102" t="s">
        <v>16</v>
      </c>
      <c r="N102" s="1">
        <v>0</v>
      </c>
      <c r="O102" s="1">
        <v>0</v>
      </c>
      <c r="P102" s="1">
        <v>0</v>
      </c>
      <c r="Q102" s="4">
        <v>0</v>
      </c>
    </row>
    <row r="103" spans="1:17" x14ac:dyDescent="0.25">
      <c r="A103" t="s">
        <v>8</v>
      </c>
      <c r="B103" s="1">
        <v>2</v>
      </c>
      <c r="C103" t="s">
        <v>389</v>
      </c>
      <c r="D103" s="1" t="s">
        <v>16</v>
      </c>
      <c r="E103" s="1">
        <v>0</v>
      </c>
      <c r="F103" s="1">
        <v>0</v>
      </c>
      <c r="G103" s="1">
        <v>0</v>
      </c>
      <c r="H103" s="4">
        <v>0</v>
      </c>
      <c r="J103" t="str">
        <f>"0000000073"</f>
        <v>0000000073</v>
      </c>
      <c r="K103" t="str">
        <f>"02"</f>
        <v>02</v>
      </c>
      <c r="L103" t="s">
        <v>389</v>
      </c>
      <c r="M103" t="s">
        <v>16</v>
      </c>
      <c r="N103" s="1">
        <v>0</v>
      </c>
      <c r="O103" s="1">
        <v>0</v>
      </c>
      <c r="P103" s="1">
        <v>0</v>
      </c>
      <c r="Q103" s="4">
        <v>0</v>
      </c>
    </row>
    <row r="104" spans="1:17" x14ac:dyDescent="0.25">
      <c r="A104" t="s">
        <v>8</v>
      </c>
      <c r="B104" s="1">
        <v>1270</v>
      </c>
      <c r="C104" t="s">
        <v>192</v>
      </c>
      <c r="D104" s="1" t="s">
        <v>49</v>
      </c>
      <c r="E104" s="1">
        <v>0</v>
      </c>
      <c r="F104" s="1">
        <v>0</v>
      </c>
      <c r="G104" s="1">
        <v>0</v>
      </c>
      <c r="H104" s="4">
        <v>0</v>
      </c>
      <c r="J104" t="str">
        <f>"0000000281"</f>
        <v>0000000281</v>
      </c>
      <c r="K104" t="str">
        <f>"0000001270"</f>
        <v>0000001270</v>
      </c>
      <c r="L104" t="s">
        <v>192</v>
      </c>
      <c r="M104" t="s">
        <v>49</v>
      </c>
      <c r="N104" s="1">
        <v>0</v>
      </c>
      <c r="O104" s="1">
        <v>0</v>
      </c>
      <c r="P104" s="1">
        <v>0</v>
      </c>
      <c r="Q104" s="4">
        <v>0</v>
      </c>
    </row>
    <row r="105" spans="1:17" x14ac:dyDescent="0.25">
      <c r="A105" t="s">
        <v>8</v>
      </c>
      <c r="B105" s="1" t="s">
        <v>267</v>
      </c>
      <c r="C105" t="s">
        <v>268</v>
      </c>
      <c r="D105" s="1" t="s">
        <v>269</v>
      </c>
      <c r="E105" s="1">
        <v>0</v>
      </c>
      <c r="F105" s="1">
        <v>0</v>
      </c>
      <c r="G105" s="1">
        <v>0</v>
      </c>
      <c r="H105" s="4">
        <v>0</v>
      </c>
      <c r="J105" t="str">
        <f>"0000000080"</f>
        <v>0000000080</v>
      </c>
      <c r="K105" t="str">
        <f>"MYLORA295"</f>
        <v>MYLORA295</v>
      </c>
      <c r="L105" t="s">
        <v>268</v>
      </c>
      <c r="M105" t="s">
        <v>269</v>
      </c>
      <c r="N105" s="1">
        <v>0</v>
      </c>
      <c r="O105" s="1">
        <v>0</v>
      </c>
      <c r="P105" s="1">
        <v>0</v>
      </c>
      <c r="Q105" s="4">
        <v>0</v>
      </c>
    </row>
    <row r="106" spans="1:17" x14ac:dyDescent="0.25">
      <c r="A106" t="s">
        <v>8</v>
      </c>
      <c r="B106" s="1">
        <v>1271</v>
      </c>
      <c r="C106" t="s">
        <v>191</v>
      </c>
      <c r="D106" s="1" t="s">
        <v>49</v>
      </c>
      <c r="E106" s="1">
        <v>-24</v>
      </c>
      <c r="F106" s="1">
        <v>0</v>
      </c>
      <c r="G106" s="1">
        <v>0</v>
      </c>
      <c r="H106" s="8">
        <v>-24</v>
      </c>
      <c r="J106" t="str">
        <f>"0000000092"</f>
        <v>0000000092</v>
      </c>
      <c r="K106" t="str">
        <f>"0000001271"</f>
        <v>0000001271</v>
      </c>
      <c r="L106" t="s">
        <v>191</v>
      </c>
      <c r="M106" t="s">
        <v>49</v>
      </c>
      <c r="N106" s="1">
        <v>5</v>
      </c>
      <c r="O106" s="1">
        <v>0</v>
      </c>
      <c r="P106" s="1">
        <v>0</v>
      </c>
      <c r="Q106" s="8">
        <v>5</v>
      </c>
    </row>
    <row r="107" spans="1:17" x14ac:dyDescent="0.25">
      <c r="A107" t="s">
        <v>8</v>
      </c>
      <c r="B107" s="1">
        <v>5</v>
      </c>
      <c r="C107" t="s">
        <v>428</v>
      </c>
      <c r="D107" s="1" t="s">
        <v>16</v>
      </c>
      <c r="E107" s="1">
        <v>0</v>
      </c>
      <c r="F107" s="1">
        <v>0</v>
      </c>
      <c r="G107" s="1">
        <v>0</v>
      </c>
      <c r="H107" s="4">
        <v>0</v>
      </c>
      <c r="J107" t="str">
        <f>"0000000276"</f>
        <v>0000000276</v>
      </c>
      <c r="K107" t="str">
        <f>"005"</f>
        <v>005</v>
      </c>
      <c r="L107" t="s">
        <v>428</v>
      </c>
      <c r="M107" t="s">
        <v>16</v>
      </c>
      <c r="N107" s="1">
        <v>0</v>
      </c>
      <c r="O107" s="1">
        <v>0</v>
      </c>
      <c r="P107" s="1">
        <v>0</v>
      </c>
      <c r="Q107" s="4">
        <v>0</v>
      </c>
    </row>
    <row r="108" spans="1:17" x14ac:dyDescent="0.25">
      <c r="A108" t="s">
        <v>408</v>
      </c>
      <c r="B108" s="1" t="s">
        <v>409</v>
      </c>
      <c r="C108" t="s">
        <v>410</v>
      </c>
      <c r="D108" s="1" t="s">
        <v>20</v>
      </c>
      <c r="E108" s="1">
        <v>3</v>
      </c>
      <c r="F108" s="1">
        <v>0</v>
      </c>
      <c r="G108" s="1">
        <v>0</v>
      </c>
      <c r="H108" s="4">
        <v>3</v>
      </c>
      <c r="J108" t="str">
        <f>"0000000083"</f>
        <v>0000000083</v>
      </c>
      <c r="K108" t="str">
        <f>"MYLORA061"</f>
        <v>MYLORA061</v>
      </c>
      <c r="L108" t="s">
        <v>410</v>
      </c>
      <c r="M108" t="s">
        <v>20</v>
      </c>
      <c r="N108" s="1">
        <v>3</v>
      </c>
      <c r="O108" s="1">
        <v>0</v>
      </c>
      <c r="P108" s="1">
        <v>0</v>
      </c>
      <c r="Q108" s="4">
        <v>3</v>
      </c>
    </row>
    <row r="109" spans="1:17" x14ac:dyDescent="0.25">
      <c r="A109" t="s">
        <v>498</v>
      </c>
      <c r="B109" s="1">
        <v>838</v>
      </c>
      <c r="C109" t="s">
        <v>499</v>
      </c>
      <c r="D109" s="1" t="s">
        <v>16</v>
      </c>
      <c r="E109" s="1">
        <v>85</v>
      </c>
      <c r="F109" s="1">
        <v>0</v>
      </c>
      <c r="G109" s="1">
        <v>0</v>
      </c>
      <c r="H109" s="4">
        <v>85</v>
      </c>
      <c r="J109" t="str">
        <f>"0000000278"</f>
        <v>0000000278</v>
      </c>
      <c r="K109" t="str">
        <f>"000838"</f>
        <v>000838</v>
      </c>
      <c r="L109" t="s">
        <v>499</v>
      </c>
      <c r="M109" t="s">
        <v>16</v>
      </c>
      <c r="N109" s="1">
        <v>85</v>
      </c>
      <c r="O109" s="1">
        <v>0</v>
      </c>
      <c r="P109" s="1">
        <v>0</v>
      </c>
      <c r="Q109" s="4">
        <v>85</v>
      </c>
    </row>
    <row r="110" spans="1:17" x14ac:dyDescent="0.25">
      <c r="A110" t="s">
        <v>8</v>
      </c>
      <c r="B110" s="1">
        <v>237</v>
      </c>
      <c r="C110" t="s">
        <v>339</v>
      </c>
      <c r="D110" s="1" t="s">
        <v>16</v>
      </c>
      <c r="E110" s="1">
        <v>5</v>
      </c>
      <c r="F110" s="1">
        <v>0</v>
      </c>
      <c r="G110" s="1">
        <v>0</v>
      </c>
      <c r="H110" s="4">
        <v>5</v>
      </c>
      <c r="J110" t="str">
        <f>"0000000136"</f>
        <v>0000000136</v>
      </c>
      <c r="K110" t="str">
        <f>"000237"</f>
        <v>000237</v>
      </c>
      <c r="L110" t="s">
        <v>339</v>
      </c>
      <c r="M110" t="s">
        <v>16</v>
      </c>
      <c r="N110" s="1">
        <v>5</v>
      </c>
      <c r="O110" s="1">
        <v>0</v>
      </c>
      <c r="P110" s="1">
        <v>0</v>
      </c>
      <c r="Q110" s="4">
        <v>5</v>
      </c>
    </row>
    <row r="111" spans="1:17" x14ac:dyDescent="0.25">
      <c r="A111" t="s">
        <v>67</v>
      </c>
      <c r="B111" s="1" t="s">
        <v>68</v>
      </c>
      <c r="C111" t="s">
        <v>69</v>
      </c>
      <c r="D111" s="1" t="s">
        <v>20</v>
      </c>
      <c r="E111" s="1">
        <v>2</v>
      </c>
      <c r="F111" s="1">
        <v>0</v>
      </c>
      <c r="G111" s="1">
        <v>0</v>
      </c>
      <c r="H111" s="8">
        <v>2</v>
      </c>
      <c r="J111" t="str">
        <f>"0000000513"</f>
        <v>0000000513</v>
      </c>
      <c r="K111" t="str">
        <f>"MYLORA063"</f>
        <v>MYLORA063</v>
      </c>
      <c r="L111" t="s">
        <v>69</v>
      </c>
      <c r="M111" t="s">
        <v>20</v>
      </c>
      <c r="N111" s="1">
        <v>1</v>
      </c>
      <c r="O111" s="1">
        <v>0</v>
      </c>
      <c r="P111" s="1">
        <v>0</v>
      </c>
      <c r="Q111" s="8">
        <v>1</v>
      </c>
    </row>
    <row r="112" spans="1:17" x14ac:dyDescent="0.25">
      <c r="A112" t="s">
        <v>8</v>
      </c>
      <c r="B112" s="1">
        <v>238</v>
      </c>
      <c r="C112" t="s">
        <v>302</v>
      </c>
      <c r="D112" s="1" t="s">
        <v>16</v>
      </c>
      <c r="E112" s="1">
        <v>172</v>
      </c>
      <c r="F112" s="1">
        <v>0</v>
      </c>
      <c r="G112" s="1">
        <v>0</v>
      </c>
      <c r="H112" s="4">
        <v>172</v>
      </c>
      <c r="J112" t="str">
        <f>"0000000388"</f>
        <v>0000000388</v>
      </c>
      <c r="K112" t="str">
        <f>"000238"</f>
        <v>000238</v>
      </c>
      <c r="L112" t="s">
        <v>302</v>
      </c>
      <c r="M112" t="s">
        <v>16</v>
      </c>
      <c r="N112" s="1">
        <v>172</v>
      </c>
      <c r="O112" s="1">
        <v>0</v>
      </c>
      <c r="P112" s="1">
        <v>0</v>
      </c>
      <c r="Q112" s="4">
        <v>172</v>
      </c>
    </row>
    <row r="113" spans="1:17" x14ac:dyDescent="0.25">
      <c r="A113" t="s">
        <v>101</v>
      </c>
      <c r="B113" s="1" t="s">
        <v>351</v>
      </c>
      <c r="C113" t="s">
        <v>352</v>
      </c>
      <c r="D113" s="1" t="s">
        <v>20</v>
      </c>
      <c r="E113" s="1">
        <v>7</v>
      </c>
      <c r="F113" s="1">
        <v>0</v>
      </c>
      <c r="G113" s="1">
        <v>0</v>
      </c>
      <c r="H113" s="4">
        <v>7</v>
      </c>
      <c r="J113" t="str">
        <f>"0000000761"</f>
        <v>0000000761</v>
      </c>
      <c r="K113" t="str">
        <f>"MYLORA065"</f>
        <v>MYLORA065</v>
      </c>
      <c r="L113" t="s">
        <v>352</v>
      </c>
      <c r="M113" t="s">
        <v>20</v>
      </c>
      <c r="N113" s="1">
        <v>7</v>
      </c>
      <c r="O113" s="1">
        <v>0</v>
      </c>
      <c r="P113" s="1">
        <v>0</v>
      </c>
      <c r="Q113" s="4">
        <v>7</v>
      </c>
    </row>
    <row r="114" spans="1:17" x14ac:dyDescent="0.25">
      <c r="A114" t="s">
        <v>361</v>
      </c>
      <c r="B114" s="1" t="s">
        <v>362</v>
      </c>
      <c r="C114" t="s">
        <v>363</v>
      </c>
      <c r="D114" s="1" t="s">
        <v>16</v>
      </c>
      <c r="E114" s="1">
        <v>25</v>
      </c>
      <c r="F114" s="1">
        <v>0</v>
      </c>
      <c r="G114" s="1">
        <v>0</v>
      </c>
      <c r="H114" s="4">
        <v>25</v>
      </c>
      <c r="J114" t="str">
        <f>"0000000261"</f>
        <v>0000000261</v>
      </c>
      <c r="K114" t="str">
        <f>"MYLORA066"</f>
        <v>MYLORA066</v>
      </c>
      <c r="L114" t="s">
        <v>363</v>
      </c>
      <c r="M114" t="s">
        <v>16</v>
      </c>
      <c r="N114" s="1">
        <v>25</v>
      </c>
      <c r="O114" s="1">
        <v>0</v>
      </c>
      <c r="P114" s="1">
        <v>0</v>
      </c>
      <c r="Q114" s="4">
        <v>25</v>
      </c>
    </row>
    <row r="115" spans="1:17" x14ac:dyDescent="0.25">
      <c r="A115" t="s">
        <v>522</v>
      </c>
      <c r="B115" s="1" t="s">
        <v>523</v>
      </c>
      <c r="C115" t="s">
        <v>524</v>
      </c>
      <c r="D115" s="1" t="s">
        <v>12</v>
      </c>
      <c r="E115" s="1">
        <v>0</v>
      </c>
      <c r="F115" s="1">
        <v>0</v>
      </c>
      <c r="G115" s="1">
        <v>0</v>
      </c>
      <c r="H115" s="4">
        <v>0</v>
      </c>
      <c r="J115" t="str">
        <f>"0000000351"</f>
        <v>0000000351</v>
      </c>
      <c r="K115" t="str">
        <f>"MYLORA385"</f>
        <v>MYLORA385</v>
      </c>
      <c r="L115" t="s">
        <v>524</v>
      </c>
      <c r="M115" t="s">
        <v>12</v>
      </c>
      <c r="N115" s="1">
        <v>0</v>
      </c>
      <c r="O115" s="1">
        <v>0</v>
      </c>
      <c r="P115" s="1">
        <v>0</v>
      </c>
      <c r="Q115" s="4">
        <v>0</v>
      </c>
    </row>
    <row r="116" spans="1:17" x14ac:dyDescent="0.25">
      <c r="A116" t="s">
        <v>8</v>
      </c>
      <c r="B116" s="1" t="s">
        <v>227</v>
      </c>
      <c r="C116" t="s">
        <v>228</v>
      </c>
      <c r="D116" s="1" t="s">
        <v>10</v>
      </c>
      <c r="E116" s="1">
        <v>0</v>
      </c>
      <c r="F116" s="1">
        <v>0</v>
      </c>
      <c r="G116" s="1">
        <v>0</v>
      </c>
      <c r="H116" s="4">
        <v>0</v>
      </c>
      <c r="J116" t="str">
        <f>"0000000537"</f>
        <v>0000000537</v>
      </c>
      <c r="K116" t="str">
        <f>"MYLORA377"</f>
        <v>MYLORA377</v>
      </c>
      <c r="L116" t="s">
        <v>228</v>
      </c>
      <c r="M116" t="s">
        <v>10</v>
      </c>
      <c r="N116" s="1">
        <v>0</v>
      </c>
      <c r="O116" s="1">
        <v>0</v>
      </c>
      <c r="P116" s="1">
        <v>0</v>
      </c>
      <c r="Q116" s="4">
        <v>0</v>
      </c>
    </row>
    <row r="117" spans="1:17" x14ac:dyDescent="0.25">
      <c r="A117" t="s">
        <v>60</v>
      </c>
      <c r="B117" s="1">
        <v>1573</v>
      </c>
      <c r="C117" t="s">
        <v>61</v>
      </c>
      <c r="D117" s="1" t="s">
        <v>16</v>
      </c>
      <c r="E117" s="1">
        <v>0</v>
      </c>
      <c r="F117" s="1">
        <v>0</v>
      </c>
      <c r="G117" s="1">
        <v>0</v>
      </c>
      <c r="H117" s="4">
        <v>0</v>
      </c>
      <c r="J117" t="str">
        <f>"0000000541"</f>
        <v>0000000541</v>
      </c>
      <c r="K117" t="str">
        <f>"0000001573"</f>
        <v>0000001573</v>
      </c>
      <c r="L117" t="s">
        <v>61</v>
      </c>
      <c r="M117" t="s">
        <v>16</v>
      </c>
      <c r="N117" s="1">
        <v>0</v>
      </c>
      <c r="O117" s="1">
        <v>0</v>
      </c>
      <c r="P117" s="1">
        <v>0</v>
      </c>
      <c r="Q117" s="4">
        <v>0</v>
      </c>
    </row>
    <row r="118" spans="1:17" x14ac:dyDescent="0.25">
      <c r="A118" t="s">
        <v>8</v>
      </c>
      <c r="B118" s="1" t="s">
        <v>224</v>
      </c>
      <c r="C118" t="s">
        <v>225</v>
      </c>
      <c r="D118" s="1" t="s">
        <v>16</v>
      </c>
      <c r="E118" s="1">
        <v>28</v>
      </c>
      <c r="F118" s="1">
        <v>0</v>
      </c>
      <c r="G118" s="1">
        <v>0</v>
      </c>
      <c r="H118" s="4">
        <v>28</v>
      </c>
      <c r="J118" t="str">
        <f>"0000000524"</f>
        <v>0000000524</v>
      </c>
      <c r="K118" t="str">
        <f>"MYLORA298"</f>
        <v>MYLORA298</v>
      </c>
      <c r="L118" t="s">
        <v>225</v>
      </c>
      <c r="M118" t="s">
        <v>16</v>
      </c>
      <c r="N118" s="1">
        <v>28</v>
      </c>
      <c r="O118" s="1">
        <v>0</v>
      </c>
      <c r="P118" s="1">
        <v>0</v>
      </c>
      <c r="Q118" s="4">
        <v>28</v>
      </c>
    </row>
    <row r="119" spans="1:17" x14ac:dyDescent="0.25">
      <c r="A119" t="s">
        <v>103</v>
      </c>
      <c r="B119" s="1">
        <v>335</v>
      </c>
      <c r="C119" t="s">
        <v>104</v>
      </c>
      <c r="D119" s="1" t="s">
        <v>10</v>
      </c>
      <c r="E119" s="1">
        <v>2</v>
      </c>
      <c r="F119" s="1">
        <v>0</v>
      </c>
      <c r="G119" s="1">
        <v>0</v>
      </c>
      <c r="H119" s="4">
        <v>2</v>
      </c>
      <c r="J119" t="str">
        <f>"0000000020"</f>
        <v>0000000020</v>
      </c>
      <c r="K119" t="str">
        <f>"335"</f>
        <v>335</v>
      </c>
      <c r="L119" t="s">
        <v>104</v>
      </c>
      <c r="M119" t="s">
        <v>10</v>
      </c>
      <c r="N119" s="1">
        <v>2</v>
      </c>
      <c r="O119" s="1">
        <v>0</v>
      </c>
      <c r="P119" s="1">
        <v>0</v>
      </c>
      <c r="Q119" s="4">
        <v>2</v>
      </c>
    </row>
    <row r="120" spans="1:17" x14ac:dyDescent="0.25">
      <c r="A120" t="s">
        <v>306</v>
      </c>
      <c r="B120" s="1">
        <v>339</v>
      </c>
      <c r="C120" t="s">
        <v>307</v>
      </c>
      <c r="D120" s="1" t="s">
        <v>12</v>
      </c>
      <c r="E120" s="1">
        <v>0</v>
      </c>
      <c r="F120" s="1">
        <v>0</v>
      </c>
      <c r="G120" s="1">
        <v>0</v>
      </c>
      <c r="H120" s="4">
        <v>0</v>
      </c>
      <c r="J120" t="str">
        <f>"0000000622"</f>
        <v>0000000622</v>
      </c>
      <c r="K120" t="str">
        <f>"339"</f>
        <v>339</v>
      </c>
      <c r="L120" t="s">
        <v>307</v>
      </c>
      <c r="M120" t="s">
        <v>12</v>
      </c>
      <c r="N120" s="1">
        <v>0</v>
      </c>
      <c r="O120" s="1">
        <v>0</v>
      </c>
      <c r="P120" s="1">
        <v>0</v>
      </c>
      <c r="Q120" s="4">
        <v>0</v>
      </c>
    </row>
    <row r="121" spans="1:17" x14ac:dyDescent="0.25">
      <c r="A121" t="s">
        <v>85</v>
      </c>
      <c r="B121" s="1">
        <v>332</v>
      </c>
      <c r="C121" t="s">
        <v>86</v>
      </c>
      <c r="D121" s="1" t="s">
        <v>12</v>
      </c>
      <c r="E121" s="1">
        <v>0</v>
      </c>
      <c r="F121" s="1">
        <v>0</v>
      </c>
      <c r="G121" s="1">
        <v>0</v>
      </c>
      <c r="H121" s="4">
        <v>0</v>
      </c>
      <c r="J121" t="str">
        <f>"0000000730"</f>
        <v>0000000730</v>
      </c>
      <c r="K121" t="str">
        <f>"332"</f>
        <v>332</v>
      </c>
      <c r="L121" t="s">
        <v>86</v>
      </c>
      <c r="M121" t="s">
        <v>12</v>
      </c>
      <c r="N121" s="1">
        <v>0</v>
      </c>
      <c r="O121" s="1">
        <v>0</v>
      </c>
      <c r="P121" s="1">
        <v>0</v>
      </c>
      <c r="Q121" s="4">
        <v>0</v>
      </c>
    </row>
    <row r="122" spans="1:17" x14ac:dyDescent="0.25">
      <c r="A122" t="s">
        <v>219</v>
      </c>
      <c r="B122" s="1">
        <v>334</v>
      </c>
      <c r="C122" t="s">
        <v>371</v>
      </c>
      <c r="D122" s="1" t="s">
        <v>12</v>
      </c>
      <c r="E122" s="1">
        <v>0</v>
      </c>
      <c r="F122" s="1">
        <v>0</v>
      </c>
      <c r="G122" s="1">
        <v>0</v>
      </c>
      <c r="H122" s="4">
        <v>0</v>
      </c>
      <c r="J122" t="str">
        <f>"0000000046"</f>
        <v>0000000046</v>
      </c>
      <c r="K122" t="str">
        <f>"334"</f>
        <v>334</v>
      </c>
      <c r="L122" t="s">
        <v>371</v>
      </c>
      <c r="M122" t="s">
        <v>12</v>
      </c>
      <c r="N122" s="1">
        <v>0</v>
      </c>
      <c r="O122" s="1">
        <v>0</v>
      </c>
      <c r="P122" s="1">
        <v>0</v>
      </c>
      <c r="Q122" s="4">
        <v>0</v>
      </c>
    </row>
    <row r="123" spans="1:17" x14ac:dyDescent="0.25">
      <c r="A123" t="s">
        <v>114</v>
      </c>
      <c r="B123" s="1" t="s">
        <v>509</v>
      </c>
      <c r="C123" t="s">
        <v>510</v>
      </c>
      <c r="D123" s="1" t="s">
        <v>16</v>
      </c>
      <c r="E123" s="1">
        <v>14</v>
      </c>
      <c r="F123" s="1">
        <v>0</v>
      </c>
      <c r="G123" s="1">
        <v>0</v>
      </c>
      <c r="H123" s="4">
        <v>14</v>
      </c>
      <c r="J123" t="str">
        <f>"0000000044"</f>
        <v>0000000044</v>
      </c>
      <c r="K123" t="str">
        <f>"MYLORA244"</f>
        <v>MYLORA244</v>
      </c>
      <c r="L123" t="s">
        <v>510</v>
      </c>
      <c r="M123" t="s">
        <v>16</v>
      </c>
      <c r="N123" s="1">
        <v>14</v>
      </c>
      <c r="O123" s="1">
        <v>0</v>
      </c>
      <c r="P123" s="1">
        <v>0</v>
      </c>
      <c r="Q123" s="4">
        <v>14</v>
      </c>
    </row>
    <row r="124" spans="1:17" x14ac:dyDescent="0.25">
      <c r="A124" t="s">
        <v>136</v>
      </c>
      <c r="B124" s="1" t="s">
        <v>110</v>
      </c>
      <c r="C124" t="s">
        <v>111</v>
      </c>
      <c r="D124" s="1" t="s">
        <v>39</v>
      </c>
      <c r="E124" s="1">
        <v>7</v>
      </c>
      <c r="F124" s="1">
        <v>0</v>
      </c>
      <c r="G124" s="1">
        <v>0</v>
      </c>
      <c r="H124" s="8">
        <v>7</v>
      </c>
      <c r="J124" t="str">
        <f>"0000000715"</f>
        <v>0000000715</v>
      </c>
      <c r="K124" t="str">
        <f>"MYLORA359"</f>
        <v>MYLORA359</v>
      </c>
      <c r="L124" t="s">
        <v>111</v>
      </c>
      <c r="M124" t="s">
        <v>39</v>
      </c>
      <c r="N124" s="1">
        <v>7</v>
      </c>
      <c r="O124" s="1">
        <v>0</v>
      </c>
      <c r="P124" s="1">
        <v>0</v>
      </c>
      <c r="Q124" s="8">
        <v>7</v>
      </c>
    </row>
    <row r="125" spans="1:17" x14ac:dyDescent="0.25">
      <c r="A125" t="s">
        <v>28</v>
      </c>
      <c r="B125" s="1">
        <v>1541</v>
      </c>
      <c r="C125" t="s">
        <v>255</v>
      </c>
      <c r="D125" s="1" t="s">
        <v>12</v>
      </c>
      <c r="E125" s="1">
        <v>0</v>
      </c>
      <c r="F125" s="1">
        <v>0</v>
      </c>
      <c r="G125" s="1">
        <v>0</v>
      </c>
      <c r="H125" s="4">
        <v>0</v>
      </c>
      <c r="J125" t="str">
        <f>"0000000906"</f>
        <v>0000000906</v>
      </c>
      <c r="K125" t="str">
        <f>"0000001541"</f>
        <v>0000001541</v>
      </c>
      <c r="L125" t="s">
        <v>255</v>
      </c>
      <c r="M125" t="s">
        <v>12</v>
      </c>
      <c r="N125" s="1">
        <v>0</v>
      </c>
      <c r="O125" s="1">
        <v>0</v>
      </c>
      <c r="P125" s="1">
        <v>0</v>
      </c>
      <c r="Q125" s="4">
        <v>0</v>
      </c>
    </row>
    <row r="126" spans="1:17" x14ac:dyDescent="0.25">
      <c r="A126" t="s">
        <v>254</v>
      </c>
      <c r="B126" s="1">
        <v>241</v>
      </c>
      <c r="C126" t="s">
        <v>569</v>
      </c>
      <c r="D126" s="1" t="s">
        <v>16</v>
      </c>
      <c r="E126" s="1">
        <v>0</v>
      </c>
      <c r="F126" s="1">
        <v>0</v>
      </c>
      <c r="G126" s="1">
        <v>0</v>
      </c>
      <c r="H126" s="4">
        <v>0</v>
      </c>
      <c r="J126" t="str">
        <f>"0000000869"</f>
        <v>0000000869</v>
      </c>
      <c r="K126" t="str">
        <f>"241"</f>
        <v>241</v>
      </c>
      <c r="L126" t="s">
        <v>569</v>
      </c>
      <c r="M126" t="s">
        <v>16</v>
      </c>
      <c r="N126" s="1">
        <v>0</v>
      </c>
      <c r="O126" s="1">
        <v>0</v>
      </c>
      <c r="P126" s="1">
        <v>0</v>
      </c>
      <c r="Q126" s="4">
        <v>0</v>
      </c>
    </row>
    <row r="127" spans="1:17" x14ac:dyDescent="0.25">
      <c r="A127" t="s">
        <v>8</v>
      </c>
      <c r="B127" s="1">
        <v>242</v>
      </c>
      <c r="C127" t="s">
        <v>574</v>
      </c>
      <c r="D127" s="1" t="s">
        <v>16</v>
      </c>
      <c r="E127" s="1">
        <v>0</v>
      </c>
      <c r="F127" s="1">
        <v>0</v>
      </c>
      <c r="G127" s="1">
        <v>0</v>
      </c>
      <c r="H127" s="4">
        <v>0</v>
      </c>
      <c r="J127" t="str">
        <f>"0000000594"</f>
        <v>0000000594</v>
      </c>
      <c r="K127" t="str">
        <f>"242"</f>
        <v>242</v>
      </c>
      <c r="L127" t="s">
        <v>574</v>
      </c>
      <c r="M127" t="s">
        <v>16</v>
      </c>
      <c r="N127" s="1">
        <v>0</v>
      </c>
      <c r="O127" s="1">
        <v>0</v>
      </c>
      <c r="P127" s="1">
        <v>0</v>
      </c>
      <c r="Q127" s="4">
        <v>0</v>
      </c>
    </row>
    <row r="128" spans="1:17" x14ac:dyDescent="0.25">
      <c r="A128" t="s">
        <v>8</v>
      </c>
      <c r="B128" s="1">
        <v>1267</v>
      </c>
      <c r="C128" t="s">
        <v>256</v>
      </c>
      <c r="D128" s="1" t="s">
        <v>16</v>
      </c>
      <c r="E128" s="1">
        <v>53</v>
      </c>
      <c r="F128" s="1">
        <v>0</v>
      </c>
      <c r="G128" s="1">
        <v>0</v>
      </c>
      <c r="H128" s="4">
        <v>53</v>
      </c>
      <c r="J128" t="str">
        <f>"0000000592"</f>
        <v>0000000592</v>
      </c>
      <c r="K128" t="str">
        <f>"0000001267"</f>
        <v>0000001267</v>
      </c>
      <c r="L128" t="s">
        <v>256</v>
      </c>
      <c r="M128" t="s">
        <v>16</v>
      </c>
      <c r="N128" s="1">
        <v>53</v>
      </c>
      <c r="O128" s="1">
        <v>0</v>
      </c>
      <c r="P128" s="1">
        <v>0</v>
      </c>
      <c r="Q128" s="4">
        <v>53</v>
      </c>
    </row>
    <row r="129" spans="1:17" x14ac:dyDescent="0.25">
      <c r="A129" t="s">
        <v>8</v>
      </c>
      <c r="B129" s="1">
        <v>1737</v>
      </c>
      <c r="C129" t="s">
        <v>535</v>
      </c>
      <c r="D129" s="1" t="s">
        <v>39</v>
      </c>
      <c r="E129" s="1">
        <v>0</v>
      </c>
      <c r="F129" s="1">
        <v>0</v>
      </c>
      <c r="G129" s="1">
        <v>0</v>
      </c>
      <c r="H129" s="4">
        <v>0</v>
      </c>
      <c r="J129" t="str">
        <f>"0000000610"</f>
        <v>0000000610</v>
      </c>
      <c r="K129" t="str">
        <f>"0000001737"</f>
        <v>0000001737</v>
      </c>
      <c r="L129" t="s">
        <v>535</v>
      </c>
      <c r="M129" t="s">
        <v>39</v>
      </c>
      <c r="N129" s="1">
        <v>0</v>
      </c>
      <c r="O129" s="1">
        <v>0</v>
      </c>
      <c r="P129" s="1">
        <v>0</v>
      </c>
      <c r="Q129" s="4">
        <v>0</v>
      </c>
    </row>
    <row r="130" spans="1:17" x14ac:dyDescent="0.25">
      <c r="A130" t="s">
        <v>375</v>
      </c>
      <c r="B130" s="1">
        <v>1685</v>
      </c>
      <c r="C130" t="s">
        <v>546</v>
      </c>
      <c r="D130" s="1" t="s">
        <v>89</v>
      </c>
      <c r="E130" s="1">
        <v>0</v>
      </c>
      <c r="F130" s="1">
        <v>0</v>
      </c>
      <c r="G130" s="1">
        <v>0</v>
      </c>
      <c r="H130" s="4">
        <v>0</v>
      </c>
      <c r="J130" t="str">
        <f>"0000000608"</f>
        <v>0000000608</v>
      </c>
      <c r="K130" t="str">
        <f>"0000001685"</f>
        <v>0000001685</v>
      </c>
      <c r="L130" t="s">
        <v>546</v>
      </c>
      <c r="M130" t="s">
        <v>89</v>
      </c>
      <c r="N130" s="1">
        <v>0</v>
      </c>
      <c r="O130" s="1">
        <v>0</v>
      </c>
      <c r="P130" s="1">
        <v>0</v>
      </c>
      <c r="Q130" s="4">
        <v>0</v>
      </c>
    </row>
    <row r="131" spans="1:17" x14ac:dyDescent="0.25">
      <c r="A131" t="s">
        <v>105</v>
      </c>
      <c r="B131" s="1" t="s">
        <v>543</v>
      </c>
      <c r="C131" t="s">
        <v>544</v>
      </c>
      <c r="D131" s="1" t="s">
        <v>39</v>
      </c>
      <c r="E131" s="1">
        <v>0</v>
      </c>
      <c r="F131" s="1">
        <v>0</v>
      </c>
      <c r="G131" s="1">
        <v>0</v>
      </c>
      <c r="H131" s="4">
        <v>0</v>
      </c>
      <c r="J131" t="str">
        <f>"0000000672"</f>
        <v>0000000672</v>
      </c>
      <c r="K131" t="str">
        <f>"MYLORA423"</f>
        <v>MYLORA423</v>
      </c>
      <c r="L131" t="s">
        <v>544</v>
      </c>
      <c r="M131" t="s">
        <v>39</v>
      </c>
      <c r="N131" s="1">
        <v>0</v>
      </c>
      <c r="O131" s="1">
        <v>0</v>
      </c>
      <c r="P131" s="1">
        <v>0</v>
      </c>
      <c r="Q131" s="4">
        <v>0</v>
      </c>
    </row>
    <row r="132" spans="1:17" x14ac:dyDescent="0.25">
      <c r="A132" t="s">
        <v>28</v>
      </c>
      <c r="B132" s="1">
        <v>157</v>
      </c>
      <c r="C132" t="s">
        <v>57</v>
      </c>
      <c r="D132" s="1" t="s">
        <v>39</v>
      </c>
      <c r="E132" s="1">
        <v>0</v>
      </c>
      <c r="F132" s="1">
        <v>0</v>
      </c>
      <c r="G132" s="1">
        <v>0</v>
      </c>
      <c r="H132" s="4">
        <v>0</v>
      </c>
      <c r="J132" t="str">
        <f>"0000000717"</f>
        <v>0000000717</v>
      </c>
      <c r="K132" t="str">
        <f>"157"</f>
        <v>157</v>
      </c>
      <c r="L132" t="s">
        <v>57</v>
      </c>
      <c r="M132" t="s">
        <v>39</v>
      </c>
      <c r="N132" s="1">
        <v>0</v>
      </c>
      <c r="O132" s="1">
        <v>0</v>
      </c>
      <c r="P132" s="1">
        <v>0</v>
      </c>
      <c r="Q132" s="4">
        <v>0</v>
      </c>
    </row>
    <row r="133" spans="1:17" x14ac:dyDescent="0.25">
      <c r="A133" t="s">
        <v>56</v>
      </c>
      <c r="B133" s="1">
        <v>4800371074961</v>
      </c>
      <c r="C133" t="s">
        <v>513</v>
      </c>
      <c r="D133" s="1" t="s">
        <v>39</v>
      </c>
      <c r="E133" s="1">
        <v>16</v>
      </c>
      <c r="F133" s="1">
        <v>0</v>
      </c>
      <c r="G133" s="1">
        <v>0</v>
      </c>
      <c r="H133" s="4">
        <v>16</v>
      </c>
      <c r="J133" t="str">
        <f>"0000000090"</f>
        <v>0000000090</v>
      </c>
      <c r="K133" t="str">
        <f>"4800371074961"</f>
        <v>4800371074961</v>
      </c>
      <c r="L133" t="s">
        <v>513</v>
      </c>
      <c r="M133" t="s">
        <v>39</v>
      </c>
      <c r="N133" s="1">
        <v>16</v>
      </c>
      <c r="O133" s="1">
        <v>0</v>
      </c>
      <c r="P133" s="1">
        <v>0</v>
      </c>
      <c r="Q133" s="4">
        <v>16</v>
      </c>
    </row>
    <row r="134" spans="1:17" x14ac:dyDescent="0.25">
      <c r="A134" t="s">
        <v>101</v>
      </c>
      <c r="B134" s="1">
        <v>4800371074930</v>
      </c>
      <c r="C134" t="s">
        <v>55</v>
      </c>
      <c r="D134" s="1" t="s">
        <v>39</v>
      </c>
      <c r="E134" s="1">
        <v>0</v>
      </c>
      <c r="F134" s="1">
        <v>0</v>
      </c>
      <c r="G134" s="1">
        <v>0</v>
      </c>
      <c r="H134" s="4">
        <v>0</v>
      </c>
      <c r="J134" t="str">
        <f>"0000000312"</f>
        <v>0000000312</v>
      </c>
      <c r="K134" t="str">
        <f>"4800371074930"</f>
        <v>4800371074930</v>
      </c>
      <c r="L134" t="s">
        <v>55</v>
      </c>
      <c r="M134" t="s">
        <v>39</v>
      </c>
      <c r="N134" s="1">
        <v>0</v>
      </c>
      <c r="O134" s="1">
        <v>0</v>
      </c>
      <c r="P134" s="1">
        <v>0</v>
      </c>
      <c r="Q134" s="4">
        <v>0</v>
      </c>
    </row>
    <row r="135" spans="1:17" x14ac:dyDescent="0.25">
      <c r="A135" t="s">
        <v>54</v>
      </c>
      <c r="B135" s="1" t="s">
        <v>345</v>
      </c>
      <c r="C135" t="s">
        <v>346</v>
      </c>
      <c r="D135" s="1" t="s">
        <v>39</v>
      </c>
      <c r="E135" s="1">
        <v>10</v>
      </c>
      <c r="F135" s="1">
        <v>0</v>
      </c>
      <c r="G135" s="1">
        <v>0</v>
      </c>
      <c r="H135" s="4">
        <v>10</v>
      </c>
      <c r="J135" t="str">
        <f>"0000000089"</f>
        <v>0000000089</v>
      </c>
      <c r="K135" t="str">
        <f>"MYLORA424"</f>
        <v>MYLORA424</v>
      </c>
      <c r="L135" t="s">
        <v>346</v>
      </c>
      <c r="M135" t="s">
        <v>39</v>
      </c>
      <c r="N135" s="1">
        <v>10</v>
      </c>
      <c r="O135" s="1">
        <v>0</v>
      </c>
      <c r="P135" s="1">
        <v>0</v>
      </c>
      <c r="Q135" s="4">
        <v>10</v>
      </c>
    </row>
    <row r="136" spans="1:17" x14ac:dyDescent="0.25">
      <c r="A136" t="s">
        <v>8</v>
      </c>
      <c r="B136" s="1">
        <v>1269</v>
      </c>
      <c r="C136" t="s">
        <v>386</v>
      </c>
      <c r="D136" s="1" t="s">
        <v>39</v>
      </c>
      <c r="E136" s="1">
        <v>2</v>
      </c>
      <c r="F136" s="1">
        <v>0</v>
      </c>
      <c r="G136" s="1">
        <v>0</v>
      </c>
      <c r="H136" s="4">
        <v>2</v>
      </c>
      <c r="J136" t="str">
        <f>"0000000283"</f>
        <v>0000000283</v>
      </c>
      <c r="K136" t="str">
        <f>"0000001269"</f>
        <v>0000001269</v>
      </c>
      <c r="L136" t="s">
        <v>386</v>
      </c>
      <c r="M136" t="s">
        <v>39</v>
      </c>
      <c r="N136" s="1">
        <v>2</v>
      </c>
      <c r="O136" s="1">
        <v>0</v>
      </c>
      <c r="P136" s="1">
        <v>0</v>
      </c>
      <c r="Q136" s="4">
        <v>2</v>
      </c>
    </row>
    <row r="137" spans="1:17" x14ac:dyDescent="0.25">
      <c r="A137" t="s">
        <v>212</v>
      </c>
      <c r="B137" s="1" t="s">
        <v>159</v>
      </c>
      <c r="C137" t="s">
        <v>160</v>
      </c>
      <c r="D137" s="1" t="s">
        <v>16</v>
      </c>
      <c r="E137" s="1">
        <v>23</v>
      </c>
      <c r="F137" s="1">
        <v>0</v>
      </c>
      <c r="G137" s="1">
        <v>0</v>
      </c>
      <c r="H137" s="8">
        <v>23</v>
      </c>
      <c r="J137" t="str">
        <f>"0000000034"</f>
        <v>0000000034</v>
      </c>
      <c r="K137" t="str">
        <f>"MYLORA206"</f>
        <v>MYLORA206</v>
      </c>
      <c r="L137" t="s">
        <v>160</v>
      </c>
      <c r="M137" t="s">
        <v>16</v>
      </c>
      <c r="N137" s="1">
        <v>22</v>
      </c>
      <c r="O137" s="1">
        <v>0</v>
      </c>
      <c r="P137" s="1">
        <v>0</v>
      </c>
      <c r="Q137" s="8">
        <v>22</v>
      </c>
    </row>
    <row r="138" spans="1:17" x14ac:dyDescent="0.25">
      <c r="A138" t="s">
        <v>8</v>
      </c>
      <c r="B138" s="1" t="s">
        <v>507</v>
      </c>
      <c r="C138" t="s">
        <v>508</v>
      </c>
      <c r="D138" s="1" t="s">
        <v>20</v>
      </c>
      <c r="E138" s="1">
        <v>0</v>
      </c>
      <c r="F138" s="1">
        <v>0</v>
      </c>
      <c r="G138" s="1">
        <v>0</v>
      </c>
      <c r="H138" s="4">
        <v>0</v>
      </c>
      <c r="J138" t="str">
        <f>"0000000752"</f>
        <v>0000000752</v>
      </c>
      <c r="K138" t="str">
        <f>"MYLORA002"</f>
        <v>MYLORA002</v>
      </c>
      <c r="L138" t="s">
        <v>508</v>
      </c>
      <c r="M138" t="s">
        <v>20</v>
      </c>
      <c r="N138" s="1">
        <v>0</v>
      </c>
      <c r="O138" s="1">
        <v>0</v>
      </c>
      <c r="P138" s="1">
        <v>0</v>
      </c>
      <c r="Q138" s="4">
        <v>0</v>
      </c>
    </row>
    <row r="139" spans="1:17" x14ac:dyDescent="0.25">
      <c r="A139" t="s">
        <v>101</v>
      </c>
      <c r="B139" s="1" t="s">
        <v>170</v>
      </c>
      <c r="C139" t="s">
        <v>171</v>
      </c>
      <c r="D139" s="1" t="s">
        <v>16</v>
      </c>
      <c r="E139" s="1">
        <v>41</v>
      </c>
      <c r="F139" s="1">
        <v>0</v>
      </c>
      <c r="G139" s="1">
        <v>0</v>
      </c>
      <c r="H139" s="4">
        <v>41</v>
      </c>
      <c r="J139" t="str">
        <f>"0000000536"</f>
        <v>0000000536</v>
      </c>
      <c r="K139" t="str">
        <f>"MYLORA207"</f>
        <v>MYLORA207</v>
      </c>
      <c r="L139" t="s">
        <v>171</v>
      </c>
      <c r="M139" t="s">
        <v>16</v>
      </c>
      <c r="N139" s="1">
        <v>41</v>
      </c>
      <c r="O139" s="1">
        <v>0</v>
      </c>
      <c r="P139" s="1">
        <v>0</v>
      </c>
      <c r="Q139" s="4">
        <v>41</v>
      </c>
    </row>
    <row r="140" spans="1:17" x14ac:dyDescent="0.25">
      <c r="A140" t="s">
        <v>8</v>
      </c>
      <c r="B140" s="1" t="s">
        <v>303</v>
      </c>
      <c r="C140" t="s">
        <v>304</v>
      </c>
      <c r="D140" s="1" t="s">
        <v>20</v>
      </c>
      <c r="E140" s="1">
        <v>2</v>
      </c>
      <c r="F140" s="1">
        <v>0</v>
      </c>
      <c r="G140" s="1">
        <v>0</v>
      </c>
      <c r="H140" s="4">
        <v>2</v>
      </c>
      <c r="J140" t="str">
        <f>"0000000535"</f>
        <v>0000000535</v>
      </c>
      <c r="K140" t="str">
        <f>"MYLORA073"</f>
        <v>MYLORA073</v>
      </c>
      <c r="L140" t="s">
        <v>304</v>
      </c>
      <c r="M140" t="s">
        <v>20</v>
      </c>
      <c r="N140" s="1">
        <v>2</v>
      </c>
      <c r="O140" s="1">
        <v>0</v>
      </c>
      <c r="P140" s="1">
        <v>0</v>
      </c>
      <c r="Q140" s="4">
        <v>2</v>
      </c>
    </row>
    <row r="141" spans="1:17" x14ac:dyDescent="0.25">
      <c r="A141" t="s">
        <v>8</v>
      </c>
      <c r="B141" s="1">
        <v>25</v>
      </c>
      <c r="C141" t="s">
        <v>310</v>
      </c>
      <c r="D141" s="1" t="s">
        <v>16</v>
      </c>
      <c r="E141" s="1">
        <v>16</v>
      </c>
      <c r="F141" s="1">
        <v>0</v>
      </c>
      <c r="G141" s="1">
        <v>0</v>
      </c>
      <c r="H141" s="4">
        <v>16</v>
      </c>
      <c r="J141" t="str">
        <f>"0000000534"</f>
        <v>0000000534</v>
      </c>
      <c r="K141" t="str">
        <f>"25"</f>
        <v>25</v>
      </c>
      <c r="L141" t="s">
        <v>310</v>
      </c>
      <c r="M141" t="s">
        <v>16</v>
      </c>
      <c r="N141" s="1">
        <v>16</v>
      </c>
      <c r="O141" s="1">
        <v>0</v>
      </c>
      <c r="P141" s="1">
        <v>0</v>
      </c>
      <c r="Q141" s="4">
        <v>16</v>
      </c>
    </row>
    <row r="142" spans="1:17" x14ac:dyDescent="0.25">
      <c r="A142" t="s">
        <v>8</v>
      </c>
      <c r="B142" s="1">
        <v>1310</v>
      </c>
      <c r="C142" t="s">
        <v>421</v>
      </c>
      <c r="D142" s="1" t="s">
        <v>64</v>
      </c>
      <c r="E142" s="1">
        <v>9</v>
      </c>
      <c r="F142" s="1">
        <v>0</v>
      </c>
      <c r="G142" s="1">
        <v>0</v>
      </c>
      <c r="H142" s="4">
        <v>9</v>
      </c>
      <c r="J142" t="str">
        <f>"0000000377"</f>
        <v>0000000377</v>
      </c>
      <c r="K142" t="str">
        <f>"0000001310"</f>
        <v>0000001310</v>
      </c>
      <c r="L142" t="s">
        <v>421</v>
      </c>
      <c r="M142" t="s">
        <v>64</v>
      </c>
      <c r="N142" s="1">
        <v>9</v>
      </c>
      <c r="O142" s="1">
        <v>0</v>
      </c>
      <c r="P142" s="1">
        <v>0</v>
      </c>
      <c r="Q142" s="4">
        <v>9</v>
      </c>
    </row>
    <row r="143" spans="1:17" x14ac:dyDescent="0.25">
      <c r="A143" t="s">
        <v>420</v>
      </c>
      <c r="B143" s="1">
        <v>338</v>
      </c>
      <c r="C143" t="s">
        <v>550</v>
      </c>
      <c r="D143" s="1" t="s">
        <v>12</v>
      </c>
      <c r="E143" s="1">
        <v>4</v>
      </c>
      <c r="F143" s="1">
        <v>0</v>
      </c>
      <c r="G143" s="1">
        <v>0</v>
      </c>
      <c r="H143" s="4">
        <v>4</v>
      </c>
      <c r="J143" t="str">
        <f>"0000000538"</f>
        <v>0000000538</v>
      </c>
      <c r="K143" t="str">
        <f>"338"</f>
        <v>338</v>
      </c>
      <c r="L143" t="s">
        <v>550</v>
      </c>
      <c r="M143" t="s">
        <v>12</v>
      </c>
      <c r="N143" s="1">
        <v>4</v>
      </c>
      <c r="O143" s="1">
        <v>0</v>
      </c>
      <c r="P143" s="1">
        <v>0</v>
      </c>
      <c r="Q143" s="4">
        <v>4</v>
      </c>
    </row>
    <row r="144" spans="1:17" x14ac:dyDescent="0.25">
      <c r="A144" t="s">
        <v>219</v>
      </c>
      <c r="B144" s="1">
        <v>337</v>
      </c>
      <c r="C144" t="s">
        <v>473</v>
      </c>
      <c r="D144" s="1" t="s">
        <v>12</v>
      </c>
      <c r="E144" s="1">
        <v>0</v>
      </c>
      <c r="F144" s="1">
        <v>0</v>
      </c>
      <c r="G144" s="1">
        <v>0</v>
      </c>
      <c r="H144" s="4">
        <v>0</v>
      </c>
      <c r="J144" t="str">
        <f>"0000000751"</f>
        <v>0000000751</v>
      </c>
      <c r="K144" t="str">
        <f>"337"</f>
        <v>337</v>
      </c>
      <c r="L144" t="s">
        <v>473</v>
      </c>
      <c r="M144" t="s">
        <v>12</v>
      </c>
      <c r="N144" s="1">
        <v>0</v>
      </c>
      <c r="O144" s="1">
        <v>0</v>
      </c>
      <c r="P144" s="1">
        <v>0</v>
      </c>
      <c r="Q144" s="4">
        <v>0</v>
      </c>
    </row>
    <row r="145" spans="1:17" x14ac:dyDescent="0.25">
      <c r="A145" t="s">
        <v>472</v>
      </c>
      <c r="B145" s="1">
        <v>336</v>
      </c>
      <c r="C145" t="s">
        <v>166</v>
      </c>
      <c r="D145" s="1" t="s">
        <v>12</v>
      </c>
      <c r="E145" s="1">
        <v>9</v>
      </c>
      <c r="F145" s="1">
        <v>0</v>
      </c>
      <c r="G145" s="1">
        <v>0</v>
      </c>
      <c r="H145" s="4">
        <v>9</v>
      </c>
      <c r="J145" t="str">
        <f>"0000000866"</f>
        <v>0000000866</v>
      </c>
      <c r="K145" t="str">
        <f>"336"</f>
        <v>336</v>
      </c>
      <c r="L145" t="s">
        <v>166</v>
      </c>
      <c r="M145" t="s">
        <v>12</v>
      </c>
      <c r="N145" s="1">
        <v>9</v>
      </c>
      <c r="O145" s="1">
        <v>0</v>
      </c>
      <c r="P145" s="1">
        <v>0</v>
      </c>
      <c r="Q145" s="4">
        <v>9</v>
      </c>
    </row>
    <row r="146" spans="1:17" x14ac:dyDescent="0.25">
      <c r="A146" t="s">
        <v>85</v>
      </c>
      <c r="B146" s="1">
        <v>341</v>
      </c>
      <c r="C146" t="s">
        <v>163</v>
      </c>
      <c r="D146" s="1" t="s">
        <v>10</v>
      </c>
      <c r="E146" s="1">
        <v>0</v>
      </c>
      <c r="F146" s="1">
        <v>0</v>
      </c>
      <c r="G146" s="1">
        <v>0</v>
      </c>
      <c r="H146" s="4">
        <v>0</v>
      </c>
      <c r="J146" t="str">
        <f>"0000000707"</f>
        <v>0000000707</v>
      </c>
      <c r="K146" t="str">
        <f>"341"</f>
        <v>341</v>
      </c>
      <c r="L146" t="s">
        <v>163</v>
      </c>
      <c r="M146" t="s">
        <v>10</v>
      </c>
      <c r="N146" s="1">
        <v>0</v>
      </c>
      <c r="O146" s="1">
        <v>0</v>
      </c>
      <c r="P146" s="1">
        <v>0</v>
      </c>
      <c r="Q146" s="4">
        <v>0</v>
      </c>
    </row>
    <row r="147" spans="1:17" x14ac:dyDescent="0.25">
      <c r="A147" t="s">
        <v>8</v>
      </c>
      <c r="B147" s="1">
        <v>340</v>
      </c>
      <c r="C147" t="s">
        <v>36</v>
      </c>
      <c r="D147" s="1" t="s">
        <v>12</v>
      </c>
      <c r="E147" s="1">
        <v>8</v>
      </c>
      <c r="F147" s="1">
        <v>0</v>
      </c>
      <c r="G147" s="1">
        <v>0</v>
      </c>
      <c r="H147" s="4">
        <v>8</v>
      </c>
      <c r="J147" t="str">
        <f>"0000000680"</f>
        <v>0000000680</v>
      </c>
      <c r="K147" t="str">
        <f>"340"</f>
        <v>340</v>
      </c>
      <c r="L147" t="s">
        <v>36</v>
      </c>
      <c r="M147" t="s">
        <v>12</v>
      </c>
      <c r="N147" s="1">
        <v>8</v>
      </c>
      <c r="O147" s="1">
        <v>0</v>
      </c>
      <c r="P147" s="1">
        <v>0</v>
      </c>
      <c r="Q147" s="4">
        <v>8</v>
      </c>
    </row>
    <row r="148" spans="1:17" x14ac:dyDescent="0.25">
      <c r="A148" t="s">
        <v>35</v>
      </c>
      <c r="B148" s="1">
        <v>1309</v>
      </c>
      <c r="C148" t="s">
        <v>71</v>
      </c>
      <c r="D148" s="1" t="s">
        <v>64</v>
      </c>
      <c r="E148" s="1">
        <v>8</v>
      </c>
      <c r="F148" s="1">
        <v>0</v>
      </c>
      <c r="G148" s="1">
        <v>0</v>
      </c>
      <c r="H148" s="4">
        <v>8</v>
      </c>
      <c r="J148" t="str">
        <f>"0000000670"</f>
        <v>0000000670</v>
      </c>
      <c r="K148" t="str">
        <f>"0000001309"</f>
        <v>0000001309</v>
      </c>
      <c r="L148" t="s">
        <v>71</v>
      </c>
      <c r="M148" t="s">
        <v>64</v>
      </c>
      <c r="N148" s="1">
        <v>8</v>
      </c>
      <c r="O148" s="1">
        <v>0</v>
      </c>
      <c r="P148" s="1">
        <v>0</v>
      </c>
      <c r="Q148" s="4">
        <v>8</v>
      </c>
    </row>
    <row r="149" spans="1:17" x14ac:dyDescent="0.25">
      <c r="A149" t="s">
        <v>70</v>
      </c>
      <c r="B149" s="1">
        <v>1687</v>
      </c>
      <c r="C149" t="s">
        <v>107</v>
      </c>
      <c r="D149" s="1" t="s">
        <v>89</v>
      </c>
      <c r="E149" s="1">
        <v>1</v>
      </c>
      <c r="F149" s="1">
        <v>0</v>
      </c>
      <c r="G149" s="1">
        <v>0</v>
      </c>
      <c r="H149" s="4">
        <v>1</v>
      </c>
      <c r="J149" t="str">
        <f>"0000000660"</f>
        <v>0000000660</v>
      </c>
      <c r="K149" t="str">
        <f>"0000001687"</f>
        <v>0000001687</v>
      </c>
      <c r="L149" t="s">
        <v>107</v>
      </c>
      <c r="M149" t="s">
        <v>89</v>
      </c>
      <c r="N149" s="1">
        <v>1</v>
      </c>
      <c r="O149" s="1">
        <v>0</v>
      </c>
      <c r="P149" s="1">
        <v>0</v>
      </c>
      <c r="Q149" s="4">
        <v>1</v>
      </c>
    </row>
    <row r="150" spans="1:17" x14ac:dyDescent="0.25">
      <c r="A150" t="s">
        <v>105</v>
      </c>
      <c r="B150" s="1">
        <v>458</v>
      </c>
      <c r="C150" t="s">
        <v>337</v>
      </c>
      <c r="D150" s="1" t="s">
        <v>338</v>
      </c>
      <c r="E150" s="1">
        <v>0</v>
      </c>
      <c r="F150" s="1">
        <v>0</v>
      </c>
      <c r="G150" s="1">
        <v>0</v>
      </c>
      <c r="H150" s="4">
        <v>0</v>
      </c>
      <c r="J150" t="str">
        <f>"0000000702"</f>
        <v>0000000702</v>
      </c>
      <c r="K150" t="str">
        <f>"458"</f>
        <v>458</v>
      </c>
      <c r="L150" t="s">
        <v>337</v>
      </c>
      <c r="M150" t="s">
        <v>338</v>
      </c>
      <c r="N150" s="1">
        <v>0</v>
      </c>
      <c r="O150" s="1">
        <v>0</v>
      </c>
      <c r="P150" s="1">
        <v>0</v>
      </c>
      <c r="Q150" s="4">
        <v>0</v>
      </c>
    </row>
    <row r="151" spans="1:17" x14ac:dyDescent="0.25">
      <c r="A151" t="s">
        <v>8</v>
      </c>
      <c r="B151" s="1">
        <v>210</v>
      </c>
      <c r="C151" t="s">
        <v>305</v>
      </c>
      <c r="D151" s="1" t="s">
        <v>39</v>
      </c>
      <c r="E151" s="1">
        <v>0</v>
      </c>
      <c r="F151" s="1">
        <v>0</v>
      </c>
      <c r="G151" s="1">
        <v>0</v>
      </c>
      <c r="H151" s="4">
        <v>0</v>
      </c>
      <c r="J151" t="str">
        <f>"0000000434"</f>
        <v>0000000434</v>
      </c>
      <c r="K151" t="str">
        <f>"210"</f>
        <v>210</v>
      </c>
      <c r="L151" t="s">
        <v>305</v>
      </c>
      <c r="M151" t="s">
        <v>39</v>
      </c>
      <c r="N151" s="1">
        <v>0</v>
      </c>
      <c r="O151" s="1">
        <v>0</v>
      </c>
      <c r="P151" s="1">
        <v>0</v>
      </c>
      <c r="Q151" s="4">
        <v>0</v>
      </c>
    </row>
    <row r="152" spans="1:17" x14ac:dyDescent="0.25">
      <c r="A152" t="s">
        <v>8</v>
      </c>
      <c r="B152" s="1">
        <v>249</v>
      </c>
      <c r="C152" t="s">
        <v>391</v>
      </c>
      <c r="D152" s="1" t="s">
        <v>39</v>
      </c>
      <c r="E152" s="1">
        <v>0</v>
      </c>
      <c r="F152" s="1">
        <v>0</v>
      </c>
      <c r="G152" s="1">
        <v>0</v>
      </c>
      <c r="H152" s="4">
        <v>0</v>
      </c>
      <c r="J152" t="str">
        <f>"0000000560"</f>
        <v>0000000560</v>
      </c>
      <c r="K152" t="str">
        <f>"249"</f>
        <v>249</v>
      </c>
      <c r="L152" t="s">
        <v>391</v>
      </c>
      <c r="M152" t="s">
        <v>39</v>
      </c>
      <c r="N152" s="1">
        <v>0</v>
      </c>
      <c r="O152" s="1">
        <v>0</v>
      </c>
      <c r="P152" s="1">
        <v>0</v>
      </c>
      <c r="Q152" s="4">
        <v>0</v>
      </c>
    </row>
    <row r="153" spans="1:17" x14ac:dyDescent="0.25">
      <c r="A153" t="s">
        <v>8</v>
      </c>
      <c r="B153" s="1">
        <v>267</v>
      </c>
      <c r="C153" t="s">
        <v>294</v>
      </c>
      <c r="D153" s="1" t="s">
        <v>39</v>
      </c>
      <c r="E153" s="1">
        <v>0</v>
      </c>
      <c r="F153" s="1">
        <v>0</v>
      </c>
      <c r="G153" s="1">
        <v>0</v>
      </c>
      <c r="H153" s="4">
        <v>0</v>
      </c>
      <c r="J153" t="str">
        <f>"0000000559"</f>
        <v>0000000559</v>
      </c>
      <c r="K153" t="str">
        <f>"267"</f>
        <v>267</v>
      </c>
      <c r="L153" t="s">
        <v>294</v>
      </c>
      <c r="M153" t="s">
        <v>39</v>
      </c>
      <c r="N153" s="1">
        <v>0</v>
      </c>
      <c r="O153" s="1">
        <v>0</v>
      </c>
      <c r="P153" s="1">
        <v>0</v>
      </c>
      <c r="Q153" s="4">
        <v>0</v>
      </c>
    </row>
    <row r="154" spans="1:17" x14ac:dyDescent="0.25">
      <c r="A154" t="s">
        <v>8</v>
      </c>
      <c r="B154" s="1" t="s">
        <v>347</v>
      </c>
      <c r="C154" t="s">
        <v>348</v>
      </c>
      <c r="D154" s="1" t="s">
        <v>197</v>
      </c>
      <c r="E154" s="1">
        <v>0</v>
      </c>
      <c r="F154" s="1">
        <v>0</v>
      </c>
      <c r="G154" s="1">
        <v>0</v>
      </c>
      <c r="H154" s="4">
        <v>0</v>
      </c>
      <c r="J154" t="str">
        <f>"0000000389"</f>
        <v>0000000389</v>
      </c>
      <c r="K154" t="str">
        <f>"MYLORA370"</f>
        <v>MYLORA370</v>
      </c>
      <c r="L154" t="s">
        <v>348</v>
      </c>
      <c r="M154" t="s">
        <v>197</v>
      </c>
      <c r="N154" s="1">
        <v>0</v>
      </c>
      <c r="O154" s="1">
        <v>0</v>
      </c>
      <c r="P154" s="1">
        <v>0</v>
      </c>
      <c r="Q154" s="4">
        <v>0</v>
      </c>
    </row>
    <row r="155" spans="1:17" x14ac:dyDescent="0.25">
      <c r="A155" t="s">
        <v>8</v>
      </c>
      <c r="B155" s="1">
        <v>634</v>
      </c>
      <c r="C155" t="s">
        <v>279</v>
      </c>
      <c r="D155" s="1" t="s">
        <v>10</v>
      </c>
      <c r="E155" s="1">
        <v>2</v>
      </c>
      <c r="F155" s="1">
        <v>0</v>
      </c>
      <c r="G155" s="1">
        <v>0</v>
      </c>
      <c r="H155" s="4">
        <v>2</v>
      </c>
      <c r="J155" t="str">
        <f>"0000000268"</f>
        <v>0000000268</v>
      </c>
      <c r="K155" t="str">
        <f>"634"</f>
        <v>634</v>
      </c>
      <c r="L155" t="s">
        <v>279</v>
      </c>
      <c r="M155" t="s">
        <v>10</v>
      </c>
      <c r="N155" s="1">
        <v>2</v>
      </c>
      <c r="O155" s="1">
        <v>0</v>
      </c>
      <c r="P155" s="1">
        <v>0</v>
      </c>
      <c r="Q155" s="4">
        <v>2</v>
      </c>
    </row>
    <row r="156" spans="1:17" x14ac:dyDescent="0.25">
      <c r="A156" t="s">
        <v>8</v>
      </c>
      <c r="B156" s="1">
        <v>526</v>
      </c>
      <c r="C156" t="s">
        <v>496</v>
      </c>
      <c r="D156" s="1" t="s">
        <v>12</v>
      </c>
      <c r="E156" s="1">
        <v>0</v>
      </c>
      <c r="F156" s="1">
        <v>0</v>
      </c>
      <c r="G156" s="1">
        <v>0</v>
      </c>
      <c r="H156" s="4">
        <v>0</v>
      </c>
      <c r="J156" t="str">
        <f>"0000000156"</f>
        <v>0000000156</v>
      </c>
      <c r="K156" t="str">
        <f>"526"</f>
        <v>526</v>
      </c>
      <c r="L156" t="s">
        <v>496</v>
      </c>
      <c r="M156" t="s">
        <v>12</v>
      </c>
      <c r="N156" s="1">
        <v>0</v>
      </c>
      <c r="O156" s="1">
        <v>0</v>
      </c>
      <c r="P156" s="1">
        <v>0</v>
      </c>
      <c r="Q156" s="4">
        <v>0</v>
      </c>
    </row>
    <row r="157" spans="1:17" x14ac:dyDescent="0.25">
      <c r="A157" t="s">
        <v>472</v>
      </c>
      <c r="B157" s="1">
        <v>525</v>
      </c>
      <c r="C157" t="s">
        <v>322</v>
      </c>
      <c r="D157" s="1" t="s">
        <v>12</v>
      </c>
      <c r="E157" s="1">
        <v>0</v>
      </c>
      <c r="F157" s="1">
        <v>0</v>
      </c>
      <c r="G157" s="1">
        <v>0</v>
      </c>
      <c r="H157" s="4">
        <v>0</v>
      </c>
      <c r="J157" t="str">
        <f>"0000000015"</f>
        <v>0000000015</v>
      </c>
      <c r="K157" t="str">
        <f>"525"</f>
        <v>525</v>
      </c>
      <c r="L157" t="s">
        <v>322</v>
      </c>
      <c r="M157" t="s">
        <v>12</v>
      </c>
      <c r="N157" s="1">
        <v>0</v>
      </c>
      <c r="O157" s="1">
        <v>0</v>
      </c>
      <c r="P157" s="1">
        <v>0</v>
      </c>
      <c r="Q157" s="4">
        <v>0</v>
      </c>
    </row>
    <row r="158" spans="1:17" x14ac:dyDescent="0.25">
      <c r="A158" t="s">
        <v>8</v>
      </c>
      <c r="B158" s="1" t="s">
        <v>548</v>
      </c>
      <c r="C158" t="s">
        <v>549</v>
      </c>
      <c r="D158" s="1" t="s">
        <v>10</v>
      </c>
      <c r="E158" s="1">
        <v>0</v>
      </c>
      <c r="F158" s="1">
        <v>0</v>
      </c>
      <c r="G158" s="1">
        <v>0</v>
      </c>
      <c r="H158" s="4">
        <v>0</v>
      </c>
      <c r="J158" t="str">
        <f>"0000000230"</f>
        <v>0000000230</v>
      </c>
      <c r="K158" t="str">
        <f>"MYLORA378"</f>
        <v>MYLORA378</v>
      </c>
      <c r="L158" t="s">
        <v>549</v>
      </c>
      <c r="M158" t="s">
        <v>10</v>
      </c>
      <c r="N158" s="1">
        <v>0</v>
      </c>
      <c r="O158" s="1">
        <v>0</v>
      </c>
      <c r="P158" s="1">
        <v>0</v>
      </c>
      <c r="Q158" s="4">
        <v>0</v>
      </c>
    </row>
    <row r="159" spans="1:17" x14ac:dyDescent="0.25">
      <c r="A159" t="s">
        <v>547</v>
      </c>
      <c r="B159" s="1" t="s">
        <v>189</v>
      </c>
      <c r="C159" t="s">
        <v>190</v>
      </c>
      <c r="D159" s="1" t="s">
        <v>20</v>
      </c>
      <c r="E159" s="1">
        <v>0</v>
      </c>
      <c r="F159" s="1">
        <v>0</v>
      </c>
      <c r="G159" s="1">
        <v>0</v>
      </c>
      <c r="H159" s="4">
        <v>0</v>
      </c>
      <c r="J159" t="str">
        <f>"0000000011"</f>
        <v>0000000011</v>
      </c>
      <c r="K159" t="str">
        <f>"MYLORA084"</f>
        <v>MYLORA084</v>
      </c>
      <c r="L159" t="s">
        <v>190</v>
      </c>
      <c r="M159" t="s">
        <v>20</v>
      </c>
      <c r="N159" s="1">
        <v>0</v>
      </c>
      <c r="O159" s="1">
        <v>0</v>
      </c>
      <c r="P159" s="1">
        <v>0</v>
      </c>
      <c r="Q159" s="4">
        <v>0</v>
      </c>
    </row>
    <row r="160" spans="1:17" x14ac:dyDescent="0.25">
      <c r="A160" t="s">
        <v>8</v>
      </c>
      <c r="B160" s="1" t="s">
        <v>429</v>
      </c>
      <c r="C160" t="s">
        <v>430</v>
      </c>
      <c r="D160" s="1" t="s">
        <v>16</v>
      </c>
      <c r="E160" s="1">
        <v>0</v>
      </c>
      <c r="F160" s="1">
        <v>0</v>
      </c>
      <c r="G160" s="1">
        <v>0</v>
      </c>
      <c r="H160" s="4">
        <v>0</v>
      </c>
      <c r="J160" t="str">
        <f>"0000000332"</f>
        <v>0000000332</v>
      </c>
      <c r="K160" t="str">
        <f>"MYLORA083"</f>
        <v>MYLORA083</v>
      </c>
      <c r="L160" t="s">
        <v>430</v>
      </c>
      <c r="M160" t="s">
        <v>16</v>
      </c>
      <c r="N160" s="1">
        <v>0</v>
      </c>
      <c r="O160" s="1">
        <v>0</v>
      </c>
      <c r="P160" s="1">
        <v>0</v>
      </c>
      <c r="Q160" s="4">
        <v>0</v>
      </c>
    </row>
    <row r="161" spans="1:17" x14ac:dyDescent="0.25">
      <c r="A161" t="s">
        <v>8</v>
      </c>
      <c r="B161" s="1">
        <v>212</v>
      </c>
      <c r="C161" t="s">
        <v>589</v>
      </c>
      <c r="D161" s="1" t="s">
        <v>16</v>
      </c>
      <c r="E161" s="1">
        <v>0</v>
      </c>
      <c r="F161" s="1">
        <v>0</v>
      </c>
      <c r="G161" s="1">
        <v>0</v>
      </c>
      <c r="H161" s="4">
        <v>0</v>
      </c>
      <c r="J161" t="str">
        <f>"0000000177"</f>
        <v>0000000177</v>
      </c>
      <c r="K161" t="str">
        <f>"212"</f>
        <v>212</v>
      </c>
      <c r="L161" t="s">
        <v>589</v>
      </c>
      <c r="M161" t="s">
        <v>16</v>
      </c>
      <c r="N161" s="1">
        <v>0</v>
      </c>
      <c r="O161" s="1">
        <v>0</v>
      </c>
      <c r="P161" s="1">
        <v>0</v>
      </c>
      <c r="Q161" s="4">
        <v>0</v>
      </c>
    </row>
    <row r="162" spans="1:17" x14ac:dyDescent="0.25">
      <c r="A162" t="s">
        <v>8</v>
      </c>
      <c r="B162" s="1">
        <v>665</v>
      </c>
      <c r="C162" t="s">
        <v>387</v>
      </c>
      <c r="D162" s="1" t="s">
        <v>16</v>
      </c>
      <c r="E162" s="1">
        <v>0</v>
      </c>
      <c r="F162" s="1">
        <v>0</v>
      </c>
      <c r="G162" s="1">
        <v>0</v>
      </c>
      <c r="H162" s="4">
        <v>0</v>
      </c>
      <c r="J162" t="str">
        <f>"0000000642"</f>
        <v>0000000642</v>
      </c>
      <c r="K162" t="str">
        <f>"665"</f>
        <v>665</v>
      </c>
      <c r="L162" t="s">
        <v>387</v>
      </c>
      <c r="M162" t="s">
        <v>16</v>
      </c>
      <c r="N162" s="1">
        <v>0</v>
      </c>
      <c r="O162" s="1">
        <v>0</v>
      </c>
      <c r="P162" s="1">
        <v>0</v>
      </c>
      <c r="Q162" s="4">
        <v>0</v>
      </c>
    </row>
    <row r="163" spans="1:17" x14ac:dyDescent="0.25">
      <c r="A163" t="s">
        <v>8</v>
      </c>
      <c r="B163" s="1">
        <v>213</v>
      </c>
      <c r="C163" t="s">
        <v>587</v>
      </c>
      <c r="D163" s="1" t="s">
        <v>16</v>
      </c>
      <c r="E163" s="1">
        <v>0</v>
      </c>
      <c r="F163" s="1">
        <v>0</v>
      </c>
      <c r="G163" s="1">
        <v>0</v>
      </c>
      <c r="H163" s="4">
        <v>0</v>
      </c>
      <c r="J163" t="str">
        <f>"0000000210"</f>
        <v>0000000210</v>
      </c>
      <c r="K163" t="str">
        <f>"213"</f>
        <v>213</v>
      </c>
      <c r="L163" t="s">
        <v>587</v>
      </c>
      <c r="M163" t="s">
        <v>16</v>
      </c>
      <c r="N163" s="1">
        <v>0</v>
      </c>
      <c r="O163" s="1">
        <v>0</v>
      </c>
      <c r="P163" s="1">
        <v>0</v>
      </c>
      <c r="Q163" s="4">
        <v>0</v>
      </c>
    </row>
    <row r="164" spans="1:17" x14ac:dyDescent="0.25">
      <c r="A164" t="s">
        <v>8</v>
      </c>
      <c r="B164" s="1">
        <v>836</v>
      </c>
      <c r="C164" t="s">
        <v>245</v>
      </c>
      <c r="D164" s="1" t="s">
        <v>20</v>
      </c>
      <c r="E164" s="1">
        <v>4</v>
      </c>
      <c r="F164" s="1">
        <v>0</v>
      </c>
      <c r="G164" s="1">
        <v>0</v>
      </c>
      <c r="H164" s="4">
        <v>4</v>
      </c>
      <c r="J164" t="str">
        <f>"0000000505"</f>
        <v>0000000505</v>
      </c>
      <c r="K164" t="str">
        <f>"836"</f>
        <v>836</v>
      </c>
      <c r="L164" t="s">
        <v>245</v>
      </c>
      <c r="M164" t="s">
        <v>20</v>
      </c>
      <c r="N164" s="1">
        <v>4</v>
      </c>
      <c r="O164" s="1">
        <v>0</v>
      </c>
      <c r="P164" s="1">
        <v>0</v>
      </c>
      <c r="Q164" s="4">
        <v>4</v>
      </c>
    </row>
    <row r="165" spans="1:17" x14ac:dyDescent="0.25">
      <c r="A165" t="s">
        <v>101</v>
      </c>
      <c r="B165" s="1">
        <v>837</v>
      </c>
      <c r="C165" t="s">
        <v>584</v>
      </c>
      <c r="D165" s="1" t="s">
        <v>16</v>
      </c>
      <c r="E165" s="1">
        <v>20</v>
      </c>
      <c r="F165" s="1">
        <v>0</v>
      </c>
      <c r="G165" s="1">
        <v>0</v>
      </c>
      <c r="H165" s="4">
        <v>20</v>
      </c>
      <c r="J165" t="str">
        <f>"0000000386"</f>
        <v>0000000386</v>
      </c>
      <c r="K165" t="str">
        <f>"837"</f>
        <v>837</v>
      </c>
      <c r="L165" t="s">
        <v>584</v>
      </c>
      <c r="M165" t="s">
        <v>16</v>
      </c>
      <c r="N165" s="1">
        <v>20</v>
      </c>
      <c r="O165" s="1">
        <v>0</v>
      </c>
      <c r="P165" s="1">
        <v>0</v>
      </c>
      <c r="Q165" s="4">
        <v>20</v>
      </c>
    </row>
    <row r="166" spans="1:17" x14ac:dyDescent="0.25">
      <c r="A166" t="s">
        <v>583</v>
      </c>
      <c r="B166" s="1" t="s">
        <v>153</v>
      </c>
      <c r="C166" t="s">
        <v>154</v>
      </c>
      <c r="D166" s="1" t="s">
        <v>39</v>
      </c>
      <c r="E166" s="1">
        <v>8</v>
      </c>
      <c r="F166" s="1">
        <v>0</v>
      </c>
      <c r="G166" s="1">
        <v>0</v>
      </c>
      <c r="H166" s="4">
        <v>8</v>
      </c>
      <c r="J166" t="str">
        <f>"0000000074"</f>
        <v>0000000074</v>
      </c>
      <c r="K166" t="str">
        <f>"MYLORA091"</f>
        <v>MYLORA091</v>
      </c>
      <c r="L166" t="s">
        <v>154</v>
      </c>
      <c r="M166" t="s">
        <v>39</v>
      </c>
      <c r="N166" s="1">
        <v>8</v>
      </c>
      <c r="O166" s="1">
        <v>0</v>
      </c>
      <c r="P166" s="1">
        <v>0</v>
      </c>
      <c r="Q166" s="4">
        <v>8</v>
      </c>
    </row>
    <row r="167" spans="1:17" x14ac:dyDescent="0.25">
      <c r="A167" t="s">
        <v>8</v>
      </c>
      <c r="B167" s="1">
        <v>424</v>
      </c>
      <c r="C167" t="s">
        <v>295</v>
      </c>
      <c r="D167" s="1" t="s">
        <v>16</v>
      </c>
      <c r="E167" s="1">
        <v>0</v>
      </c>
      <c r="F167" s="1">
        <v>0</v>
      </c>
      <c r="G167" s="1">
        <v>0</v>
      </c>
      <c r="H167" s="4">
        <v>0</v>
      </c>
      <c r="J167" t="str">
        <f>"0000000082"</f>
        <v>0000000082</v>
      </c>
      <c r="K167" t="str">
        <f>"424"</f>
        <v>424</v>
      </c>
      <c r="L167" t="s">
        <v>295</v>
      </c>
      <c r="M167" t="s">
        <v>16</v>
      </c>
      <c r="N167" s="1">
        <v>0</v>
      </c>
      <c r="O167" s="1">
        <v>0</v>
      </c>
      <c r="P167" s="1">
        <v>0</v>
      </c>
      <c r="Q167" s="4">
        <v>0</v>
      </c>
    </row>
    <row r="168" spans="1:17" x14ac:dyDescent="0.25">
      <c r="A168" t="s">
        <v>8</v>
      </c>
      <c r="B168" s="1">
        <v>740</v>
      </c>
      <c r="C168" t="s">
        <v>431</v>
      </c>
      <c r="D168" s="1" t="s">
        <v>12</v>
      </c>
      <c r="E168" s="1">
        <v>0</v>
      </c>
      <c r="F168" s="1">
        <v>0</v>
      </c>
      <c r="G168" s="1">
        <v>0</v>
      </c>
      <c r="H168" s="4">
        <v>0</v>
      </c>
      <c r="J168" t="str">
        <f>"0000000019"</f>
        <v>0000000019</v>
      </c>
      <c r="K168" t="str">
        <f>"740"</f>
        <v>740</v>
      </c>
      <c r="L168" t="s">
        <v>431</v>
      </c>
      <c r="M168" t="s">
        <v>12</v>
      </c>
      <c r="N168" s="1">
        <v>0</v>
      </c>
      <c r="O168" s="1">
        <v>0</v>
      </c>
      <c r="P168" s="1">
        <v>0</v>
      </c>
      <c r="Q168" s="4">
        <v>0</v>
      </c>
    </row>
    <row r="169" spans="1:17" x14ac:dyDescent="0.25">
      <c r="A169" t="s">
        <v>8</v>
      </c>
      <c r="B169" s="1">
        <v>739</v>
      </c>
      <c r="C169" t="s">
        <v>319</v>
      </c>
      <c r="D169" s="1" t="s">
        <v>10</v>
      </c>
      <c r="E169" s="1">
        <v>0.1</v>
      </c>
      <c r="F169" s="1">
        <v>0</v>
      </c>
      <c r="G169" s="1">
        <v>0</v>
      </c>
      <c r="H169" s="4">
        <v>0.1</v>
      </c>
      <c r="J169" t="str">
        <f>"0000000338"</f>
        <v>0000000338</v>
      </c>
      <c r="K169" t="str">
        <f>"739"</f>
        <v>739</v>
      </c>
      <c r="L169" t="s">
        <v>319</v>
      </c>
      <c r="M169" t="s">
        <v>10</v>
      </c>
      <c r="N169" s="1">
        <v>0.1</v>
      </c>
      <c r="O169" s="1">
        <v>0</v>
      </c>
      <c r="P169" s="1">
        <v>0</v>
      </c>
      <c r="Q169" s="4">
        <v>0.1</v>
      </c>
    </row>
    <row r="170" spans="1:17" x14ac:dyDescent="0.25">
      <c r="A170" t="s">
        <v>8</v>
      </c>
      <c r="B170" s="1">
        <v>867</v>
      </c>
      <c r="C170" t="s">
        <v>169</v>
      </c>
      <c r="D170" s="1" t="s">
        <v>16</v>
      </c>
      <c r="E170" s="1">
        <v>8</v>
      </c>
      <c r="F170" s="1">
        <v>0</v>
      </c>
      <c r="G170" s="1">
        <v>0</v>
      </c>
      <c r="H170" s="4">
        <v>8</v>
      </c>
      <c r="J170" t="str">
        <f>"0000000141"</f>
        <v>0000000141</v>
      </c>
      <c r="K170" t="str">
        <f>"000867"</f>
        <v>000867</v>
      </c>
      <c r="L170" t="s">
        <v>169</v>
      </c>
      <c r="M170" t="s">
        <v>16</v>
      </c>
      <c r="N170" s="1">
        <v>8</v>
      </c>
      <c r="O170" s="1">
        <v>0</v>
      </c>
      <c r="P170" s="1">
        <v>0</v>
      </c>
      <c r="Q170" s="4">
        <v>8</v>
      </c>
    </row>
    <row r="171" spans="1:17" x14ac:dyDescent="0.25">
      <c r="A171" t="s">
        <v>8</v>
      </c>
      <c r="B171" s="1">
        <v>868</v>
      </c>
      <c r="C171" t="s">
        <v>323</v>
      </c>
      <c r="D171" s="1" t="s">
        <v>16</v>
      </c>
      <c r="E171" s="1">
        <v>0</v>
      </c>
      <c r="F171" s="1">
        <v>0</v>
      </c>
      <c r="G171" s="1">
        <v>0</v>
      </c>
      <c r="H171" s="4">
        <v>0</v>
      </c>
      <c r="J171" t="str">
        <f>"0000000483"</f>
        <v>0000000483</v>
      </c>
      <c r="K171" t="str">
        <f>"000868"</f>
        <v>000868</v>
      </c>
      <c r="L171" t="s">
        <v>323</v>
      </c>
      <c r="M171" t="s">
        <v>16</v>
      </c>
      <c r="N171" s="1">
        <v>0</v>
      </c>
      <c r="O171" s="1">
        <v>0</v>
      </c>
      <c r="P171" s="1">
        <v>0</v>
      </c>
      <c r="Q171" s="4">
        <v>0</v>
      </c>
    </row>
    <row r="172" spans="1:17" x14ac:dyDescent="0.25">
      <c r="A172" t="s">
        <v>8</v>
      </c>
      <c r="B172" s="1">
        <v>215</v>
      </c>
      <c r="C172" t="s">
        <v>330</v>
      </c>
      <c r="D172" s="1" t="s">
        <v>16</v>
      </c>
      <c r="E172" s="1">
        <v>77</v>
      </c>
      <c r="F172" s="1">
        <v>0</v>
      </c>
      <c r="G172" s="1">
        <v>0</v>
      </c>
      <c r="H172" s="4">
        <v>77</v>
      </c>
      <c r="J172" t="str">
        <f>"0000000807"</f>
        <v>0000000807</v>
      </c>
      <c r="K172" t="str">
        <f>"215"</f>
        <v>215</v>
      </c>
      <c r="L172" t="s">
        <v>330</v>
      </c>
      <c r="M172" t="s">
        <v>16</v>
      </c>
      <c r="N172" s="1">
        <v>77</v>
      </c>
      <c r="O172" s="1">
        <v>0</v>
      </c>
      <c r="P172" s="1">
        <v>0</v>
      </c>
      <c r="Q172" s="4">
        <v>77</v>
      </c>
    </row>
    <row r="173" spans="1:17" x14ac:dyDescent="0.25">
      <c r="A173" t="s">
        <v>8</v>
      </c>
      <c r="B173" s="1" t="s">
        <v>382</v>
      </c>
      <c r="C173" t="s">
        <v>383</v>
      </c>
      <c r="D173" s="1" t="s">
        <v>20</v>
      </c>
      <c r="E173" s="1">
        <v>2</v>
      </c>
      <c r="F173" s="1">
        <v>0</v>
      </c>
      <c r="G173" s="1">
        <v>0</v>
      </c>
      <c r="H173" s="4">
        <v>2</v>
      </c>
      <c r="J173" t="str">
        <f>"0000000160"</f>
        <v>0000000160</v>
      </c>
      <c r="K173" t="str">
        <f>"MYLORA092"</f>
        <v>MYLORA092</v>
      </c>
      <c r="L173" t="s">
        <v>383</v>
      </c>
      <c r="M173" t="s">
        <v>20</v>
      </c>
      <c r="N173" s="1">
        <v>2</v>
      </c>
      <c r="O173" s="1">
        <v>0</v>
      </c>
      <c r="P173" s="1">
        <v>0</v>
      </c>
      <c r="Q173" s="4">
        <v>2</v>
      </c>
    </row>
    <row r="174" spans="1:17" x14ac:dyDescent="0.25">
      <c r="A174" t="s">
        <v>381</v>
      </c>
      <c r="B174" s="1" t="s">
        <v>270</v>
      </c>
      <c r="C174" t="s">
        <v>271</v>
      </c>
      <c r="D174" s="1" t="s">
        <v>16</v>
      </c>
      <c r="E174" s="1">
        <v>0</v>
      </c>
      <c r="F174" s="1">
        <v>0</v>
      </c>
      <c r="G174" s="1">
        <v>0</v>
      </c>
      <c r="H174" s="4">
        <v>0</v>
      </c>
      <c r="J174" t="str">
        <f>"0000000288"</f>
        <v>0000000288</v>
      </c>
      <c r="K174" t="str">
        <f>"MYLORA094"</f>
        <v>MYLORA094</v>
      </c>
      <c r="L174" t="s">
        <v>271</v>
      </c>
      <c r="M174" t="s">
        <v>16</v>
      </c>
      <c r="N174" s="1">
        <v>0</v>
      </c>
      <c r="O174" s="1">
        <v>0</v>
      </c>
      <c r="P174" s="1">
        <v>0</v>
      </c>
      <c r="Q174" s="4">
        <v>0</v>
      </c>
    </row>
    <row r="175" spans="1:17" x14ac:dyDescent="0.25">
      <c r="A175" t="s">
        <v>8</v>
      </c>
      <c r="B175" s="1">
        <v>647</v>
      </c>
      <c r="C175" t="s">
        <v>220</v>
      </c>
      <c r="D175" s="1" t="s">
        <v>12</v>
      </c>
      <c r="E175" s="1">
        <v>0</v>
      </c>
      <c r="F175" s="1">
        <v>0</v>
      </c>
      <c r="G175" s="1">
        <v>0</v>
      </c>
      <c r="H175" s="4">
        <v>0</v>
      </c>
      <c r="J175" t="str">
        <f>"0000000849"</f>
        <v>0000000849</v>
      </c>
      <c r="K175" t="str">
        <f>"647"</f>
        <v>647</v>
      </c>
      <c r="L175" t="s">
        <v>220</v>
      </c>
      <c r="M175" t="s">
        <v>12</v>
      </c>
      <c r="N175" s="1">
        <v>0</v>
      </c>
      <c r="O175" s="1">
        <v>0</v>
      </c>
      <c r="P175" s="1">
        <v>0</v>
      </c>
      <c r="Q175" s="4">
        <v>0</v>
      </c>
    </row>
    <row r="176" spans="1:17" x14ac:dyDescent="0.25">
      <c r="A176" t="s">
        <v>219</v>
      </c>
      <c r="B176" s="1">
        <v>1378</v>
      </c>
      <c r="C176" t="s">
        <v>462</v>
      </c>
      <c r="D176" s="1" t="s">
        <v>10</v>
      </c>
      <c r="E176" s="1">
        <v>1.25</v>
      </c>
      <c r="F176" s="1">
        <v>0</v>
      </c>
      <c r="G176" s="1">
        <v>0</v>
      </c>
      <c r="H176" s="4">
        <v>1.25</v>
      </c>
      <c r="J176" t="str">
        <f>"0000000644"</f>
        <v>0000000644</v>
      </c>
      <c r="K176" t="str">
        <f>"0000001378"</f>
        <v>0000001378</v>
      </c>
      <c r="L176" t="s">
        <v>462</v>
      </c>
      <c r="M176" t="s">
        <v>10</v>
      </c>
      <c r="N176" s="1">
        <v>1.25</v>
      </c>
      <c r="O176" s="1">
        <v>0</v>
      </c>
      <c r="P176" s="1">
        <v>0</v>
      </c>
      <c r="Q176" s="4">
        <v>1.25</v>
      </c>
    </row>
    <row r="177" spans="1:17" x14ac:dyDescent="0.25">
      <c r="A177" t="s">
        <v>461</v>
      </c>
      <c r="B177" s="1" t="s">
        <v>287</v>
      </c>
      <c r="C177" t="s">
        <v>288</v>
      </c>
      <c r="D177" s="1" t="s">
        <v>16</v>
      </c>
      <c r="E177" s="1">
        <v>27</v>
      </c>
      <c r="F177" s="1">
        <v>0</v>
      </c>
      <c r="G177" s="1">
        <v>0</v>
      </c>
      <c r="H177" s="4">
        <v>27</v>
      </c>
      <c r="J177" t="str">
        <f>"0000000731"</f>
        <v>0000000731</v>
      </c>
      <c r="K177" t="str">
        <f>"MYLORA113"</f>
        <v>MYLORA113</v>
      </c>
      <c r="L177" t="s">
        <v>288</v>
      </c>
      <c r="M177" t="s">
        <v>16</v>
      </c>
      <c r="N177" s="1">
        <v>27</v>
      </c>
      <c r="O177" s="1">
        <v>0</v>
      </c>
      <c r="P177" s="1">
        <v>0</v>
      </c>
      <c r="Q177" s="4">
        <v>27</v>
      </c>
    </row>
    <row r="178" spans="1:17" x14ac:dyDescent="0.25">
      <c r="A178" t="s">
        <v>8</v>
      </c>
      <c r="B178" s="1" t="s">
        <v>243</v>
      </c>
      <c r="C178" t="s">
        <v>244</v>
      </c>
      <c r="D178" s="1" t="s">
        <v>20</v>
      </c>
      <c r="E178" s="1">
        <v>6</v>
      </c>
      <c r="F178" s="1">
        <v>0</v>
      </c>
      <c r="G178" s="1">
        <v>0</v>
      </c>
      <c r="H178" s="4">
        <v>6</v>
      </c>
      <c r="J178" t="str">
        <f>"0000000527"</f>
        <v>0000000527</v>
      </c>
      <c r="K178" t="str">
        <f>"MYLORA114"</f>
        <v>MYLORA114</v>
      </c>
      <c r="L178" t="s">
        <v>597</v>
      </c>
      <c r="M178" t="s">
        <v>20</v>
      </c>
      <c r="N178" s="1">
        <v>6</v>
      </c>
      <c r="O178" s="1">
        <v>0</v>
      </c>
      <c r="P178" s="1">
        <v>0</v>
      </c>
      <c r="Q178" s="4">
        <v>6</v>
      </c>
    </row>
    <row r="179" spans="1:17" x14ac:dyDescent="0.25">
      <c r="A179" t="s">
        <v>242</v>
      </c>
      <c r="B179" s="1">
        <v>1662</v>
      </c>
      <c r="C179" t="s">
        <v>419</v>
      </c>
      <c r="D179" s="1" t="s">
        <v>39</v>
      </c>
      <c r="E179" s="1">
        <v>5</v>
      </c>
      <c r="F179" s="1">
        <v>0</v>
      </c>
      <c r="G179" s="1">
        <v>0</v>
      </c>
      <c r="H179" s="4">
        <v>5</v>
      </c>
      <c r="J179" t="str">
        <f>"0000000794"</f>
        <v>0000000794</v>
      </c>
      <c r="K179" t="str">
        <f>"0000001662"</f>
        <v>0000001662</v>
      </c>
      <c r="L179" t="s">
        <v>419</v>
      </c>
      <c r="M179" t="s">
        <v>39</v>
      </c>
      <c r="N179" s="1">
        <v>5</v>
      </c>
      <c r="O179" s="1">
        <v>0</v>
      </c>
      <c r="P179" s="1">
        <v>0</v>
      </c>
      <c r="Q179" s="4">
        <v>5</v>
      </c>
    </row>
    <row r="180" spans="1:17" x14ac:dyDescent="0.25">
      <c r="A180" t="s">
        <v>418</v>
      </c>
      <c r="B180" s="1" t="s">
        <v>476</v>
      </c>
      <c r="C180" t="s">
        <v>477</v>
      </c>
      <c r="D180" s="1" t="s">
        <v>39</v>
      </c>
      <c r="E180" s="1">
        <v>0</v>
      </c>
      <c r="F180" s="1">
        <v>0</v>
      </c>
      <c r="G180" s="1">
        <v>0</v>
      </c>
      <c r="H180" s="4">
        <v>0</v>
      </c>
      <c r="J180" t="str">
        <f>"0000000585"</f>
        <v>0000000585</v>
      </c>
      <c r="K180" t="str">
        <f>"MYLORA115"</f>
        <v>MYLORA115</v>
      </c>
      <c r="L180" t="s">
        <v>477</v>
      </c>
      <c r="M180" t="s">
        <v>39</v>
      </c>
      <c r="N180" s="1">
        <v>0</v>
      </c>
      <c r="O180" s="1">
        <v>0</v>
      </c>
      <c r="P180" s="1">
        <v>0</v>
      </c>
      <c r="Q180" s="4">
        <v>0</v>
      </c>
    </row>
    <row r="181" spans="1:17" x14ac:dyDescent="0.25">
      <c r="A181" t="s">
        <v>381</v>
      </c>
      <c r="B181" s="1">
        <v>1285</v>
      </c>
      <c r="C181" t="s">
        <v>178</v>
      </c>
      <c r="D181" s="1" t="s">
        <v>16</v>
      </c>
      <c r="E181" s="1">
        <v>0</v>
      </c>
      <c r="F181" s="1">
        <v>0</v>
      </c>
      <c r="G181" s="1">
        <v>0</v>
      </c>
      <c r="H181" s="4">
        <v>0</v>
      </c>
      <c r="J181" t="str">
        <f>"0000000375"</f>
        <v>0000000375</v>
      </c>
      <c r="K181" t="str">
        <f>"0000001285"</f>
        <v>0000001285</v>
      </c>
      <c r="L181" t="s">
        <v>178</v>
      </c>
      <c r="M181" t="s">
        <v>16</v>
      </c>
      <c r="N181" s="1">
        <v>0</v>
      </c>
      <c r="O181" s="1">
        <v>0</v>
      </c>
      <c r="P181" s="1">
        <v>0</v>
      </c>
      <c r="Q181" s="4">
        <v>0</v>
      </c>
    </row>
    <row r="182" spans="1:17" x14ac:dyDescent="0.25">
      <c r="A182" t="s">
        <v>8</v>
      </c>
      <c r="B182" s="1">
        <v>303</v>
      </c>
      <c r="C182" t="s">
        <v>188</v>
      </c>
      <c r="D182" s="1" t="s">
        <v>12</v>
      </c>
      <c r="E182" s="1">
        <v>0</v>
      </c>
      <c r="F182" s="1">
        <v>0</v>
      </c>
      <c r="G182" s="1">
        <v>0</v>
      </c>
      <c r="H182" s="4">
        <v>0</v>
      </c>
      <c r="J182" t="str">
        <f>"0000000415"</f>
        <v>0000000415</v>
      </c>
      <c r="K182" t="str">
        <f>"303"</f>
        <v>303</v>
      </c>
      <c r="L182" t="s">
        <v>188</v>
      </c>
      <c r="M182" t="s">
        <v>12</v>
      </c>
      <c r="N182" s="1">
        <v>0</v>
      </c>
      <c r="O182" s="1">
        <v>0</v>
      </c>
      <c r="P182" s="1">
        <v>0</v>
      </c>
      <c r="Q182" s="4">
        <v>0</v>
      </c>
    </row>
    <row r="183" spans="1:17" x14ac:dyDescent="0.25">
      <c r="A183" t="s">
        <v>8</v>
      </c>
      <c r="B183" s="1">
        <v>1364</v>
      </c>
      <c r="C183" t="s">
        <v>173</v>
      </c>
      <c r="D183" s="1" t="s">
        <v>51</v>
      </c>
      <c r="E183" s="1">
        <v>0</v>
      </c>
      <c r="F183" s="1">
        <v>0</v>
      </c>
      <c r="G183" s="1">
        <v>0</v>
      </c>
      <c r="H183" s="4">
        <v>0</v>
      </c>
      <c r="J183" t="str">
        <f>"0000000035"</f>
        <v>0000000035</v>
      </c>
      <c r="K183" t="str">
        <f>"0000001364"</f>
        <v>0000001364</v>
      </c>
      <c r="L183" t="s">
        <v>173</v>
      </c>
      <c r="M183" t="s">
        <v>51</v>
      </c>
      <c r="N183" s="1">
        <v>0</v>
      </c>
      <c r="O183" s="1">
        <v>0</v>
      </c>
      <c r="P183" s="1">
        <v>0</v>
      </c>
      <c r="Q183" s="4">
        <v>0</v>
      </c>
    </row>
    <row r="184" spans="1:17" x14ac:dyDescent="0.25">
      <c r="A184" t="s">
        <v>8</v>
      </c>
      <c r="B184" s="1" t="s">
        <v>185</v>
      </c>
      <c r="C184" t="s">
        <v>186</v>
      </c>
      <c r="D184" s="1" t="s">
        <v>12</v>
      </c>
      <c r="E184" s="1">
        <v>0</v>
      </c>
      <c r="F184" s="1">
        <v>0</v>
      </c>
      <c r="G184" s="1">
        <v>0</v>
      </c>
      <c r="H184" s="4">
        <v>0</v>
      </c>
      <c r="J184" t="str">
        <f>"0000000632"</f>
        <v>0000000632</v>
      </c>
      <c r="K184" t="str">
        <f>"MYLORA116"</f>
        <v>MYLORA116</v>
      </c>
      <c r="L184" t="s">
        <v>186</v>
      </c>
      <c r="M184" t="s">
        <v>12</v>
      </c>
      <c r="N184" s="1">
        <v>0</v>
      </c>
      <c r="O184" s="1">
        <v>0</v>
      </c>
      <c r="P184" s="1">
        <v>0</v>
      </c>
      <c r="Q184" s="4">
        <v>0</v>
      </c>
    </row>
    <row r="185" spans="1:17" x14ac:dyDescent="0.25">
      <c r="A185" t="s">
        <v>94</v>
      </c>
      <c r="B185" s="1">
        <v>155</v>
      </c>
      <c r="C185" t="s">
        <v>276</v>
      </c>
      <c r="D185" s="1" t="s">
        <v>10</v>
      </c>
      <c r="E185" s="1">
        <v>0.25</v>
      </c>
      <c r="F185" s="1">
        <v>0</v>
      </c>
      <c r="G185" s="1">
        <v>0</v>
      </c>
      <c r="H185" s="4">
        <v>0.25</v>
      </c>
      <c r="J185" t="str">
        <f>"0000000045"</f>
        <v>0000000045</v>
      </c>
      <c r="K185" t="str">
        <f>"155"</f>
        <v>155</v>
      </c>
      <c r="L185" t="s">
        <v>276</v>
      </c>
      <c r="M185" t="s">
        <v>10</v>
      </c>
      <c r="N185" s="1">
        <v>0.25</v>
      </c>
      <c r="O185" s="1">
        <v>0</v>
      </c>
      <c r="P185" s="1">
        <v>0</v>
      </c>
      <c r="Q185" s="4">
        <v>0.25</v>
      </c>
    </row>
    <row r="186" spans="1:17" x14ac:dyDescent="0.25">
      <c r="A186" t="s">
        <v>8</v>
      </c>
      <c r="B186" s="1" t="s">
        <v>315</v>
      </c>
      <c r="C186" t="s">
        <v>316</v>
      </c>
      <c r="D186" s="1" t="s">
        <v>10</v>
      </c>
      <c r="E186" s="1">
        <v>0</v>
      </c>
      <c r="F186" s="1">
        <v>0</v>
      </c>
      <c r="G186" s="1">
        <v>0</v>
      </c>
      <c r="H186" s="4">
        <v>0</v>
      </c>
      <c r="J186" t="str">
        <f>"0000000422"</f>
        <v>0000000422</v>
      </c>
      <c r="K186" t="str">
        <f>"MYLORA405"</f>
        <v>MYLORA405</v>
      </c>
      <c r="L186" t="s">
        <v>316</v>
      </c>
      <c r="M186" t="s">
        <v>10</v>
      </c>
      <c r="N186" s="1">
        <v>0</v>
      </c>
      <c r="O186" s="1">
        <v>0</v>
      </c>
      <c r="P186" s="1">
        <v>0</v>
      </c>
      <c r="Q186" s="4">
        <v>0</v>
      </c>
    </row>
    <row r="187" spans="1:17" x14ac:dyDescent="0.25">
      <c r="A187" t="s">
        <v>8</v>
      </c>
      <c r="B187" s="1">
        <v>257</v>
      </c>
      <c r="C187" t="s">
        <v>187</v>
      </c>
      <c r="D187" s="1" t="s">
        <v>16</v>
      </c>
      <c r="E187" s="1">
        <v>1</v>
      </c>
      <c r="F187" s="1">
        <v>0</v>
      </c>
      <c r="G187" s="1">
        <v>0</v>
      </c>
      <c r="H187" s="4">
        <v>1</v>
      </c>
      <c r="J187" t="str">
        <f>"0000000501"</f>
        <v>0000000501</v>
      </c>
      <c r="K187" t="str">
        <f>"257"</f>
        <v>257</v>
      </c>
      <c r="L187" t="s">
        <v>187</v>
      </c>
      <c r="M187" t="s">
        <v>16</v>
      </c>
      <c r="N187" s="1">
        <v>1</v>
      </c>
      <c r="O187" s="1">
        <v>0</v>
      </c>
      <c r="P187" s="1">
        <v>0</v>
      </c>
      <c r="Q187" s="4">
        <v>1</v>
      </c>
    </row>
    <row r="188" spans="1:17" x14ac:dyDescent="0.25">
      <c r="A188" t="s">
        <v>8</v>
      </c>
      <c r="B188" s="1">
        <v>625</v>
      </c>
      <c r="C188" t="s">
        <v>118</v>
      </c>
      <c r="D188" s="1" t="s">
        <v>39</v>
      </c>
      <c r="E188" s="1">
        <v>0</v>
      </c>
      <c r="F188" s="1">
        <v>0</v>
      </c>
      <c r="G188" s="1">
        <v>0</v>
      </c>
      <c r="H188" s="4">
        <v>0</v>
      </c>
      <c r="J188" t="str">
        <f>"0000000729"</f>
        <v>0000000729</v>
      </c>
      <c r="K188" t="str">
        <f>"000625"</f>
        <v>000625</v>
      </c>
      <c r="L188" t="s">
        <v>118</v>
      </c>
      <c r="M188" t="s">
        <v>39</v>
      </c>
      <c r="N188" s="1">
        <v>0</v>
      </c>
      <c r="O188" s="1">
        <v>0</v>
      </c>
      <c r="P188" s="1">
        <v>0</v>
      </c>
      <c r="Q188" s="4">
        <v>0</v>
      </c>
    </row>
    <row r="189" spans="1:17" x14ac:dyDescent="0.25">
      <c r="A189" t="s">
        <v>101</v>
      </c>
      <c r="B189" s="1">
        <v>45</v>
      </c>
      <c r="C189" t="s">
        <v>226</v>
      </c>
      <c r="D189" s="1" t="s">
        <v>16</v>
      </c>
      <c r="E189" s="1">
        <v>0</v>
      </c>
      <c r="F189" s="1">
        <v>0</v>
      </c>
      <c r="G189" s="1">
        <v>0</v>
      </c>
      <c r="H189" s="4">
        <v>0</v>
      </c>
      <c r="J189" t="str">
        <f>"0000000925"</f>
        <v>0000000925</v>
      </c>
      <c r="K189" t="str">
        <f>"000045"</f>
        <v>000045</v>
      </c>
      <c r="L189" t="s">
        <v>226</v>
      </c>
      <c r="M189" t="s">
        <v>16</v>
      </c>
      <c r="N189" s="1">
        <v>0</v>
      </c>
      <c r="O189" s="1">
        <v>0</v>
      </c>
      <c r="P189" s="1">
        <v>0</v>
      </c>
      <c r="Q189" s="4">
        <v>0</v>
      </c>
    </row>
    <row r="190" spans="1:17" x14ac:dyDescent="0.25">
      <c r="A190" t="s">
        <v>8</v>
      </c>
      <c r="B190" s="1" t="s">
        <v>202</v>
      </c>
      <c r="C190" t="s">
        <v>203</v>
      </c>
      <c r="D190" s="1" t="s">
        <v>10</v>
      </c>
      <c r="E190" s="1">
        <v>0</v>
      </c>
      <c r="F190" s="1">
        <v>0</v>
      </c>
      <c r="G190" s="1">
        <v>0</v>
      </c>
      <c r="H190" s="4">
        <v>0</v>
      </c>
      <c r="J190" t="str">
        <f>"0000001064"</f>
        <v>0000001064</v>
      </c>
      <c r="K190" t="str">
        <f>"MYLORA381"</f>
        <v>MYLORA381</v>
      </c>
      <c r="L190" t="s">
        <v>203</v>
      </c>
      <c r="M190" t="s">
        <v>10</v>
      </c>
      <c r="N190" s="1">
        <v>0</v>
      </c>
      <c r="O190" s="1">
        <v>0</v>
      </c>
      <c r="P190" s="1">
        <v>0</v>
      </c>
      <c r="Q190" s="4">
        <v>0</v>
      </c>
    </row>
    <row r="191" spans="1:17" x14ac:dyDescent="0.25">
      <c r="A191" t="s">
        <v>8</v>
      </c>
      <c r="B191" s="1">
        <v>750</v>
      </c>
      <c r="C191" t="s">
        <v>374</v>
      </c>
      <c r="D191" s="1" t="s">
        <v>12</v>
      </c>
      <c r="E191" s="1">
        <v>0</v>
      </c>
      <c r="F191" s="1">
        <v>0</v>
      </c>
      <c r="G191" s="1">
        <v>0</v>
      </c>
      <c r="H191" s="4">
        <v>0</v>
      </c>
      <c r="J191" t="str">
        <f>"0000001065"</f>
        <v>0000001065</v>
      </c>
      <c r="K191" t="str">
        <f>"750"</f>
        <v>750</v>
      </c>
      <c r="L191" t="s">
        <v>374</v>
      </c>
      <c r="M191" t="s">
        <v>12</v>
      </c>
      <c r="N191" s="1">
        <v>0</v>
      </c>
      <c r="O191" s="1">
        <v>0</v>
      </c>
      <c r="P191" s="1">
        <v>0</v>
      </c>
      <c r="Q191" s="4">
        <v>0</v>
      </c>
    </row>
    <row r="192" spans="1:17" x14ac:dyDescent="0.25">
      <c r="A192" t="s">
        <v>373</v>
      </c>
      <c r="B192" s="1">
        <v>1281</v>
      </c>
      <c r="C192" t="s">
        <v>50</v>
      </c>
      <c r="D192" s="1" t="s">
        <v>51</v>
      </c>
      <c r="E192" s="1">
        <v>3</v>
      </c>
      <c r="F192" s="1">
        <v>0</v>
      </c>
      <c r="G192" s="1">
        <v>0</v>
      </c>
      <c r="H192" s="4">
        <v>3</v>
      </c>
      <c r="J192" t="str">
        <f>"0000000042"</f>
        <v>0000000042</v>
      </c>
      <c r="K192" t="str">
        <f>"0000001281"</f>
        <v>0000001281</v>
      </c>
      <c r="L192" t="s">
        <v>50</v>
      </c>
      <c r="M192" t="s">
        <v>51</v>
      </c>
      <c r="N192" s="1">
        <v>3</v>
      </c>
      <c r="O192" s="1">
        <v>0</v>
      </c>
      <c r="P192" s="1">
        <v>0</v>
      </c>
      <c r="Q192" s="4">
        <v>3</v>
      </c>
    </row>
    <row r="193" spans="1:17" x14ac:dyDescent="0.25">
      <c r="A193" t="s">
        <v>8</v>
      </c>
      <c r="B193" s="1">
        <v>1499</v>
      </c>
      <c r="C193" t="s">
        <v>336</v>
      </c>
      <c r="D193" s="1" t="s">
        <v>51</v>
      </c>
      <c r="E193" s="1">
        <v>6</v>
      </c>
      <c r="F193" s="1">
        <v>0</v>
      </c>
      <c r="G193" s="1">
        <v>0</v>
      </c>
      <c r="H193" s="4">
        <v>6</v>
      </c>
      <c r="J193" t="str">
        <f>"0000000650"</f>
        <v>0000000650</v>
      </c>
      <c r="K193" t="str">
        <f>"0000001499"</f>
        <v>0000001499</v>
      </c>
      <c r="L193" t="s">
        <v>336</v>
      </c>
      <c r="M193" t="s">
        <v>51</v>
      </c>
      <c r="N193" s="1">
        <v>6</v>
      </c>
      <c r="O193" s="1">
        <v>0</v>
      </c>
      <c r="P193" s="1">
        <v>0</v>
      </c>
      <c r="Q193" s="4">
        <v>6</v>
      </c>
    </row>
    <row r="194" spans="1:17" x14ac:dyDescent="0.25">
      <c r="A194" t="s">
        <v>8</v>
      </c>
      <c r="B194" s="1">
        <v>1885</v>
      </c>
      <c r="C194" t="s">
        <v>533</v>
      </c>
      <c r="D194" s="1" t="s">
        <v>20</v>
      </c>
      <c r="E194" s="1">
        <v>1</v>
      </c>
      <c r="F194" s="1">
        <v>0</v>
      </c>
      <c r="G194" s="1">
        <v>0</v>
      </c>
      <c r="H194" s="4">
        <v>1</v>
      </c>
      <c r="J194" t="str">
        <f>"0000000279"</f>
        <v>0000000279</v>
      </c>
      <c r="K194" t="str">
        <f>"0000001885"</f>
        <v>0000001885</v>
      </c>
      <c r="L194" t="s">
        <v>533</v>
      </c>
      <c r="M194" t="s">
        <v>20</v>
      </c>
      <c r="N194" s="1">
        <v>1</v>
      </c>
      <c r="O194" s="1">
        <v>0</v>
      </c>
      <c r="P194" s="1">
        <v>0</v>
      </c>
      <c r="Q194" s="4">
        <v>1</v>
      </c>
    </row>
    <row r="195" spans="1:17" x14ac:dyDescent="0.25">
      <c r="A195" t="s">
        <v>212</v>
      </c>
      <c r="B195" s="1">
        <v>1886</v>
      </c>
      <c r="C195" t="s">
        <v>135</v>
      </c>
      <c r="D195" s="1" t="s">
        <v>16</v>
      </c>
      <c r="E195" s="1">
        <v>59</v>
      </c>
      <c r="F195" s="1">
        <v>0</v>
      </c>
      <c r="G195" s="1">
        <v>0</v>
      </c>
      <c r="H195" s="4">
        <v>59</v>
      </c>
      <c r="J195" t="str">
        <f>"0000000209"</f>
        <v>0000000209</v>
      </c>
      <c r="K195" t="str">
        <f>"0000001886"</f>
        <v>0000001886</v>
      </c>
      <c r="L195" t="s">
        <v>135</v>
      </c>
      <c r="M195" t="s">
        <v>16</v>
      </c>
      <c r="N195" s="1">
        <v>59</v>
      </c>
      <c r="O195" s="1">
        <v>0</v>
      </c>
      <c r="P195" s="1">
        <v>0</v>
      </c>
      <c r="Q195" s="4">
        <v>59</v>
      </c>
    </row>
    <row r="196" spans="1:17" x14ac:dyDescent="0.25">
      <c r="A196" t="s">
        <v>134</v>
      </c>
      <c r="B196" s="1">
        <v>259</v>
      </c>
      <c r="C196" t="s">
        <v>289</v>
      </c>
      <c r="D196" s="1" t="s">
        <v>16</v>
      </c>
      <c r="E196" s="1">
        <v>36</v>
      </c>
      <c r="F196" s="1">
        <v>0</v>
      </c>
      <c r="G196" s="1">
        <v>0</v>
      </c>
      <c r="H196" s="4">
        <v>36</v>
      </c>
      <c r="J196" t="str">
        <f>"0000000289"</f>
        <v>0000000289</v>
      </c>
      <c r="K196" t="str">
        <f>"259"</f>
        <v>259</v>
      </c>
      <c r="L196" t="s">
        <v>289</v>
      </c>
      <c r="M196" t="s">
        <v>16</v>
      </c>
      <c r="N196" s="1">
        <v>36</v>
      </c>
      <c r="O196" s="1">
        <v>0</v>
      </c>
      <c r="P196" s="1">
        <v>0</v>
      </c>
      <c r="Q196" s="4">
        <v>36</v>
      </c>
    </row>
    <row r="197" spans="1:17" x14ac:dyDescent="0.25">
      <c r="A197" t="s">
        <v>8</v>
      </c>
      <c r="B197" s="1" t="s">
        <v>490</v>
      </c>
      <c r="C197" t="s">
        <v>491</v>
      </c>
      <c r="D197" s="1" t="s">
        <v>39</v>
      </c>
      <c r="E197" s="1">
        <v>2</v>
      </c>
      <c r="F197" s="1">
        <v>0</v>
      </c>
      <c r="G197" s="1">
        <v>0</v>
      </c>
      <c r="H197" s="4">
        <v>2</v>
      </c>
      <c r="J197" t="str">
        <f>"0000000477"</f>
        <v>0000000477</v>
      </c>
      <c r="K197" t="str">
        <f>"MYLORA118"</f>
        <v>MYLORA118</v>
      </c>
      <c r="L197" t="s">
        <v>491</v>
      </c>
      <c r="M197" t="s">
        <v>39</v>
      </c>
      <c r="N197" s="1">
        <v>2</v>
      </c>
      <c r="O197" s="1">
        <v>0</v>
      </c>
      <c r="P197" s="1">
        <v>0</v>
      </c>
      <c r="Q197" s="4">
        <v>2</v>
      </c>
    </row>
    <row r="198" spans="1:17" x14ac:dyDescent="0.25">
      <c r="A198" t="s">
        <v>489</v>
      </c>
      <c r="B198" s="1" t="s">
        <v>181</v>
      </c>
      <c r="C198" t="s">
        <v>182</v>
      </c>
      <c r="D198" s="1" t="s">
        <v>20</v>
      </c>
      <c r="E198" s="1">
        <v>5</v>
      </c>
      <c r="F198" s="1">
        <v>0</v>
      </c>
      <c r="G198" s="1">
        <v>0</v>
      </c>
      <c r="H198" s="4">
        <v>5</v>
      </c>
      <c r="J198" t="str">
        <f>"0000000435"</f>
        <v>0000000435</v>
      </c>
      <c r="K198" t="str">
        <f>"MYLORA119"</f>
        <v>MYLORA119</v>
      </c>
      <c r="L198" t="s">
        <v>182</v>
      </c>
      <c r="M198" t="s">
        <v>20</v>
      </c>
      <c r="N198" s="1">
        <v>5</v>
      </c>
      <c r="O198" s="1">
        <v>0</v>
      </c>
      <c r="P198" s="1">
        <v>0</v>
      </c>
      <c r="Q198" s="4">
        <v>5</v>
      </c>
    </row>
    <row r="199" spans="1:17" x14ac:dyDescent="0.25">
      <c r="A199" t="s">
        <v>8</v>
      </c>
      <c r="B199" s="1">
        <v>428</v>
      </c>
      <c r="C199" t="s">
        <v>570</v>
      </c>
      <c r="D199" s="1" t="s">
        <v>16</v>
      </c>
      <c r="E199" s="1">
        <v>20</v>
      </c>
      <c r="F199" s="1">
        <v>0</v>
      </c>
      <c r="G199" s="1">
        <v>2</v>
      </c>
      <c r="H199" s="8">
        <v>18</v>
      </c>
      <c r="J199" t="str">
        <f>"0000000485"</f>
        <v>0000000485</v>
      </c>
      <c r="K199" t="str">
        <f>"428"</f>
        <v>428</v>
      </c>
      <c r="L199" t="s">
        <v>570</v>
      </c>
      <c r="M199" t="s">
        <v>16</v>
      </c>
      <c r="N199" s="1">
        <v>18</v>
      </c>
      <c r="O199" s="1">
        <v>0</v>
      </c>
      <c r="P199" s="1">
        <v>-2</v>
      </c>
      <c r="Q199" s="8">
        <v>16</v>
      </c>
    </row>
    <row r="200" spans="1:17" x14ac:dyDescent="0.25">
      <c r="A200" t="s">
        <v>8</v>
      </c>
      <c r="B200" s="1" t="s">
        <v>384</v>
      </c>
      <c r="C200" t="s">
        <v>385</v>
      </c>
      <c r="D200" s="1" t="s">
        <v>20</v>
      </c>
      <c r="E200" s="1">
        <v>11</v>
      </c>
      <c r="F200" s="1">
        <v>0</v>
      </c>
      <c r="G200" s="1">
        <v>0</v>
      </c>
      <c r="H200" s="8">
        <v>11</v>
      </c>
      <c r="J200" t="str">
        <f>"0000000359"</f>
        <v>0000000359</v>
      </c>
      <c r="K200" t="str">
        <f>"MYLORA120"</f>
        <v>MYLORA120</v>
      </c>
      <c r="L200" t="s">
        <v>385</v>
      </c>
      <c r="M200" t="s">
        <v>20</v>
      </c>
      <c r="N200" s="1">
        <v>7</v>
      </c>
      <c r="O200" s="1">
        <v>0</v>
      </c>
      <c r="P200" s="1">
        <v>0</v>
      </c>
      <c r="Q200" s="8">
        <v>7</v>
      </c>
    </row>
    <row r="201" spans="1:17" x14ac:dyDescent="0.25">
      <c r="A201" t="s">
        <v>97</v>
      </c>
      <c r="B201" s="1">
        <v>64</v>
      </c>
      <c r="C201" t="s">
        <v>175</v>
      </c>
      <c r="D201" s="1" t="s">
        <v>12</v>
      </c>
      <c r="E201" s="1">
        <v>0</v>
      </c>
      <c r="F201" s="1">
        <v>0</v>
      </c>
      <c r="G201" s="1">
        <v>0</v>
      </c>
      <c r="H201" s="4">
        <v>0</v>
      </c>
      <c r="J201" t="str">
        <f>"0000000470"</f>
        <v>0000000470</v>
      </c>
      <c r="K201" t="str">
        <f>"64"</f>
        <v>64</v>
      </c>
      <c r="L201" t="s">
        <v>175</v>
      </c>
      <c r="M201" t="s">
        <v>12</v>
      </c>
      <c r="N201" s="1">
        <v>0</v>
      </c>
      <c r="O201" s="1">
        <v>0</v>
      </c>
      <c r="P201" s="1">
        <v>0</v>
      </c>
      <c r="Q201" s="4">
        <v>0</v>
      </c>
    </row>
    <row r="202" spans="1:17" x14ac:dyDescent="0.25">
      <c r="A202" t="s">
        <v>8</v>
      </c>
      <c r="B202" s="1">
        <v>65</v>
      </c>
      <c r="C202" t="s">
        <v>426</v>
      </c>
      <c r="D202" s="1" t="s">
        <v>10</v>
      </c>
      <c r="E202" s="1">
        <v>0</v>
      </c>
      <c r="F202" s="1">
        <v>0</v>
      </c>
      <c r="G202" s="1">
        <v>0</v>
      </c>
      <c r="H202" s="4">
        <v>0</v>
      </c>
      <c r="J202" t="str">
        <f>"0000000392"</f>
        <v>0000000392</v>
      </c>
      <c r="K202" t="str">
        <f>"65"</f>
        <v>65</v>
      </c>
      <c r="L202" t="s">
        <v>426</v>
      </c>
      <c r="M202" t="s">
        <v>10</v>
      </c>
      <c r="N202" s="1">
        <v>0</v>
      </c>
      <c r="O202" s="1">
        <v>0</v>
      </c>
      <c r="P202" s="1">
        <v>0</v>
      </c>
      <c r="Q202" s="4">
        <v>0</v>
      </c>
    </row>
    <row r="203" spans="1:17" x14ac:dyDescent="0.25">
      <c r="A203" t="s">
        <v>8</v>
      </c>
      <c r="B203" s="1">
        <v>100</v>
      </c>
      <c r="C203" t="s">
        <v>140</v>
      </c>
      <c r="D203" s="1" t="s">
        <v>12</v>
      </c>
      <c r="E203" s="1">
        <v>6</v>
      </c>
      <c r="F203" s="1">
        <v>0</v>
      </c>
      <c r="G203" s="1">
        <v>0</v>
      </c>
      <c r="H203" s="4">
        <v>6</v>
      </c>
      <c r="J203" t="str">
        <f>"0000001316"</f>
        <v>0000001316</v>
      </c>
      <c r="K203" t="str">
        <f>"100"</f>
        <v>100</v>
      </c>
      <c r="L203" t="s">
        <v>140</v>
      </c>
      <c r="M203" t="s">
        <v>12</v>
      </c>
      <c r="N203" s="1">
        <v>6</v>
      </c>
      <c r="O203" s="1">
        <v>0</v>
      </c>
      <c r="P203" s="1">
        <v>0</v>
      </c>
      <c r="Q203" s="4">
        <v>6</v>
      </c>
    </row>
    <row r="204" spans="1:17" x14ac:dyDescent="0.25">
      <c r="A204" t="s">
        <v>8</v>
      </c>
      <c r="B204" s="1">
        <v>3070</v>
      </c>
      <c r="C204" t="s">
        <v>52</v>
      </c>
      <c r="D204" s="1" t="s">
        <v>10</v>
      </c>
      <c r="E204" s="1">
        <v>13</v>
      </c>
      <c r="F204" s="1">
        <v>0</v>
      </c>
      <c r="G204" s="1">
        <v>2</v>
      </c>
      <c r="H204" s="4">
        <v>11</v>
      </c>
      <c r="J204" t="str">
        <f>"0000001317"</f>
        <v>0000001317</v>
      </c>
      <c r="K204" t="str">
        <f>"3070"</f>
        <v>3070</v>
      </c>
      <c r="L204" t="s">
        <v>52</v>
      </c>
      <c r="M204" t="s">
        <v>10</v>
      </c>
      <c r="N204" s="1">
        <v>13</v>
      </c>
      <c r="O204" s="1">
        <v>0</v>
      </c>
      <c r="P204" s="1">
        <v>-2</v>
      </c>
      <c r="Q204" s="4">
        <v>11</v>
      </c>
    </row>
    <row r="205" spans="1:17" x14ac:dyDescent="0.25">
      <c r="A205" t="s">
        <v>8</v>
      </c>
      <c r="B205" s="1">
        <v>714</v>
      </c>
      <c r="C205" t="s">
        <v>143</v>
      </c>
      <c r="D205" s="1" t="s">
        <v>12</v>
      </c>
      <c r="E205" s="1">
        <v>0</v>
      </c>
      <c r="F205" s="1">
        <v>0</v>
      </c>
      <c r="G205" s="1">
        <v>0</v>
      </c>
      <c r="H205" s="4">
        <v>0</v>
      </c>
      <c r="J205" t="str">
        <f>"0000000393"</f>
        <v>0000000393</v>
      </c>
      <c r="K205" t="str">
        <f>"714"</f>
        <v>714</v>
      </c>
      <c r="L205" t="s">
        <v>143</v>
      </c>
      <c r="M205" t="s">
        <v>12</v>
      </c>
      <c r="N205" s="1">
        <v>0</v>
      </c>
      <c r="O205" s="1">
        <v>0</v>
      </c>
      <c r="P205" s="1">
        <v>0</v>
      </c>
      <c r="Q205" s="4">
        <v>0</v>
      </c>
    </row>
    <row r="206" spans="1:17" x14ac:dyDescent="0.25">
      <c r="A206" t="s">
        <v>8</v>
      </c>
      <c r="B206" s="1">
        <v>715</v>
      </c>
      <c r="C206" t="s">
        <v>425</v>
      </c>
      <c r="D206" s="1" t="s">
        <v>10</v>
      </c>
      <c r="E206" s="1">
        <v>-1E-3</v>
      </c>
      <c r="F206" s="1">
        <v>0</v>
      </c>
      <c r="G206" s="1">
        <v>0</v>
      </c>
      <c r="H206" s="8">
        <v>-1E-3</v>
      </c>
      <c r="J206" t="str">
        <f>"0000000465"</f>
        <v>0000000465</v>
      </c>
      <c r="K206" t="str">
        <f>"715"</f>
        <v>715</v>
      </c>
      <c r="L206" t="s">
        <v>425</v>
      </c>
      <c r="M206" t="s">
        <v>10</v>
      </c>
      <c r="N206" s="1">
        <v>1</v>
      </c>
      <c r="O206" s="1">
        <v>0</v>
      </c>
      <c r="P206" s="1">
        <v>0</v>
      </c>
      <c r="Q206" s="8">
        <v>1</v>
      </c>
    </row>
    <row r="207" spans="1:17" x14ac:dyDescent="0.25">
      <c r="A207" t="s">
        <v>8</v>
      </c>
      <c r="B207" s="1">
        <v>101</v>
      </c>
      <c r="C207" t="s">
        <v>561</v>
      </c>
      <c r="D207" s="1" t="s">
        <v>12</v>
      </c>
      <c r="E207" s="1">
        <v>10</v>
      </c>
      <c r="F207" s="1">
        <v>0</v>
      </c>
      <c r="G207" s="1">
        <v>0</v>
      </c>
      <c r="H207" s="4">
        <v>10</v>
      </c>
      <c r="J207" t="str">
        <f>"0000000584"</f>
        <v>0000000584</v>
      </c>
      <c r="K207" t="str">
        <f>"101"</f>
        <v>101</v>
      </c>
      <c r="L207" t="s">
        <v>561</v>
      </c>
      <c r="M207" t="s">
        <v>12</v>
      </c>
      <c r="N207" s="1">
        <v>10</v>
      </c>
      <c r="O207" s="1">
        <v>0</v>
      </c>
      <c r="P207" s="1">
        <v>0</v>
      </c>
      <c r="Q207" s="4">
        <v>10</v>
      </c>
    </row>
    <row r="208" spans="1:17" x14ac:dyDescent="0.25">
      <c r="A208" t="s">
        <v>560</v>
      </c>
      <c r="B208" s="1">
        <v>102</v>
      </c>
      <c r="C208" t="s">
        <v>138</v>
      </c>
      <c r="D208" s="1" t="s">
        <v>10</v>
      </c>
      <c r="E208" s="1">
        <v>19</v>
      </c>
      <c r="F208" s="1">
        <v>0</v>
      </c>
      <c r="G208" s="1">
        <v>0</v>
      </c>
      <c r="H208" s="4">
        <v>19</v>
      </c>
      <c r="J208" t="str">
        <f>"0000000424"</f>
        <v>0000000424</v>
      </c>
      <c r="K208" t="str">
        <f>"102"</f>
        <v>102</v>
      </c>
      <c r="L208" t="s">
        <v>138</v>
      </c>
      <c r="M208" t="s">
        <v>10</v>
      </c>
      <c r="N208" s="1">
        <v>19</v>
      </c>
      <c r="O208" s="1">
        <v>0</v>
      </c>
      <c r="P208" s="1">
        <v>0</v>
      </c>
      <c r="Q208" s="4">
        <v>19</v>
      </c>
    </row>
    <row r="209" spans="1:17" x14ac:dyDescent="0.25">
      <c r="A209" t="s">
        <v>137</v>
      </c>
      <c r="B209" s="1" t="s">
        <v>141</v>
      </c>
      <c r="C209" t="s">
        <v>142</v>
      </c>
      <c r="D209" s="1" t="s">
        <v>10</v>
      </c>
      <c r="E209" s="1">
        <v>45</v>
      </c>
      <c r="F209" s="1">
        <v>0</v>
      </c>
      <c r="G209" s="1">
        <v>0</v>
      </c>
      <c r="H209" s="8">
        <v>45</v>
      </c>
      <c r="J209" t="str">
        <f>"0000000539"</f>
        <v>0000000539</v>
      </c>
      <c r="K209" t="str">
        <f>"MYLORA355"</f>
        <v>MYLORA355</v>
      </c>
      <c r="L209" t="s">
        <v>142</v>
      </c>
      <c r="M209" t="s">
        <v>10</v>
      </c>
      <c r="N209" s="1">
        <v>40</v>
      </c>
      <c r="O209" s="1">
        <v>0</v>
      </c>
      <c r="P209" s="1">
        <v>0</v>
      </c>
      <c r="Q209" s="8">
        <v>40</v>
      </c>
    </row>
    <row r="210" spans="1:17" x14ac:dyDescent="0.25">
      <c r="A210" t="s">
        <v>8</v>
      </c>
      <c r="B210" s="1">
        <v>68</v>
      </c>
      <c r="C210" t="s">
        <v>53</v>
      </c>
      <c r="D210" s="1" t="s">
        <v>12</v>
      </c>
      <c r="E210" s="1">
        <v>15</v>
      </c>
      <c r="F210" s="1">
        <v>0</v>
      </c>
      <c r="G210" s="1">
        <v>0</v>
      </c>
      <c r="H210" s="4">
        <v>15</v>
      </c>
      <c r="J210" t="str">
        <f>"0000000378"</f>
        <v>0000000378</v>
      </c>
      <c r="K210" t="str">
        <f>"68"</f>
        <v>68</v>
      </c>
      <c r="L210" t="s">
        <v>53</v>
      </c>
      <c r="M210" t="s">
        <v>12</v>
      </c>
      <c r="N210" s="1">
        <v>15</v>
      </c>
      <c r="O210" s="1">
        <v>0</v>
      </c>
      <c r="P210" s="1">
        <v>0</v>
      </c>
      <c r="Q210" s="4">
        <v>15</v>
      </c>
    </row>
    <row r="211" spans="1:17" x14ac:dyDescent="0.25">
      <c r="A211" t="s">
        <v>8</v>
      </c>
      <c r="B211" s="1" t="s">
        <v>317</v>
      </c>
      <c r="C211" t="s">
        <v>318</v>
      </c>
      <c r="D211" s="1" t="s">
        <v>12</v>
      </c>
      <c r="E211" s="1">
        <v>17</v>
      </c>
      <c r="F211" s="1">
        <v>0</v>
      </c>
      <c r="G211" s="1">
        <v>0</v>
      </c>
      <c r="H211" s="4">
        <v>17</v>
      </c>
      <c r="J211" t="str">
        <f>"0000000355"</f>
        <v>0000000355</v>
      </c>
      <c r="K211" t="str">
        <f>"MYLORA204"</f>
        <v>MYLORA204</v>
      </c>
      <c r="L211" t="s">
        <v>318</v>
      </c>
      <c r="M211" t="s">
        <v>12</v>
      </c>
      <c r="N211" s="1">
        <v>17</v>
      </c>
      <c r="O211" s="1">
        <v>0</v>
      </c>
      <c r="P211" s="1">
        <v>0</v>
      </c>
      <c r="Q211" s="4">
        <v>17</v>
      </c>
    </row>
    <row r="212" spans="1:17" x14ac:dyDescent="0.25">
      <c r="A212" t="s">
        <v>8</v>
      </c>
      <c r="B212" s="1" t="s">
        <v>45</v>
      </c>
      <c r="C212" t="s">
        <v>46</v>
      </c>
      <c r="D212" s="1" t="s">
        <v>10</v>
      </c>
      <c r="E212" s="1">
        <v>2</v>
      </c>
      <c r="F212" s="1">
        <v>0</v>
      </c>
      <c r="G212" s="1">
        <v>0</v>
      </c>
      <c r="H212" s="8">
        <v>2</v>
      </c>
      <c r="J212" t="str">
        <f>"0000000508"</f>
        <v>0000000508</v>
      </c>
      <c r="K212" t="str">
        <f>"MYLORA205"</f>
        <v>MYLORA205</v>
      </c>
      <c r="L212" t="s">
        <v>46</v>
      </c>
      <c r="M212" t="s">
        <v>10</v>
      </c>
      <c r="N212" s="1">
        <v>4</v>
      </c>
      <c r="O212" s="1">
        <v>0</v>
      </c>
      <c r="P212" s="1">
        <v>0</v>
      </c>
      <c r="Q212" s="8">
        <v>4</v>
      </c>
    </row>
    <row r="213" spans="1:17" x14ac:dyDescent="0.25">
      <c r="A213" t="s">
        <v>8</v>
      </c>
      <c r="B213" s="1">
        <v>342</v>
      </c>
      <c r="C213" t="s">
        <v>152</v>
      </c>
      <c r="D213" s="1" t="s">
        <v>12</v>
      </c>
      <c r="E213" s="1">
        <v>0</v>
      </c>
      <c r="F213" s="1">
        <v>0</v>
      </c>
      <c r="G213" s="1">
        <v>0</v>
      </c>
      <c r="H213" s="8">
        <v>0</v>
      </c>
      <c r="J213" t="str">
        <f>"0000000427"</f>
        <v>0000000427</v>
      </c>
      <c r="K213" t="str">
        <f>"342"</f>
        <v>342</v>
      </c>
      <c r="L213" t="s">
        <v>152</v>
      </c>
      <c r="M213" t="s">
        <v>12</v>
      </c>
      <c r="N213" s="1">
        <v>1</v>
      </c>
      <c r="O213" s="1">
        <v>0</v>
      </c>
      <c r="P213" s="1">
        <v>0</v>
      </c>
      <c r="Q213" s="8">
        <v>1</v>
      </c>
    </row>
    <row r="214" spans="1:17" x14ac:dyDescent="0.25">
      <c r="A214" t="s">
        <v>8</v>
      </c>
      <c r="B214" s="1">
        <v>343</v>
      </c>
      <c r="C214" t="s">
        <v>432</v>
      </c>
      <c r="D214" s="1" t="s">
        <v>10</v>
      </c>
      <c r="E214" s="1">
        <v>42.5</v>
      </c>
      <c r="F214" s="1">
        <v>0</v>
      </c>
      <c r="G214" s="1">
        <v>0</v>
      </c>
      <c r="H214" s="8">
        <v>42.5</v>
      </c>
      <c r="J214" t="str">
        <f>"0000000507"</f>
        <v>0000000507</v>
      </c>
      <c r="K214" t="str">
        <f>"343"</f>
        <v>343</v>
      </c>
      <c r="L214" t="s">
        <v>432</v>
      </c>
      <c r="M214" t="s">
        <v>10</v>
      </c>
      <c r="N214" s="1">
        <v>17.5</v>
      </c>
      <c r="O214" s="1">
        <v>0</v>
      </c>
      <c r="P214" s="1">
        <v>0</v>
      </c>
      <c r="Q214" s="8">
        <v>17.5</v>
      </c>
    </row>
    <row r="215" spans="1:17" x14ac:dyDescent="0.25">
      <c r="A215" t="s">
        <v>8</v>
      </c>
      <c r="B215" s="1">
        <v>166</v>
      </c>
      <c r="C215" t="s">
        <v>388</v>
      </c>
      <c r="D215" s="1" t="s">
        <v>10</v>
      </c>
      <c r="E215" s="1">
        <v>0.5</v>
      </c>
      <c r="F215" s="1">
        <v>0</v>
      </c>
      <c r="G215" s="1">
        <v>0</v>
      </c>
      <c r="H215" s="4">
        <v>0.5</v>
      </c>
      <c r="J215" t="str">
        <f>"0000000425"</f>
        <v>0000000425</v>
      </c>
      <c r="K215" t="str">
        <f>"166"</f>
        <v>166</v>
      </c>
      <c r="L215" t="s">
        <v>388</v>
      </c>
      <c r="M215" t="s">
        <v>10</v>
      </c>
      <c r="N215" s="1">
        <v>0.5</v>
      </c>
      <c r="O215" s="1">
        <v>0</v>
      </c>
      <c r="P215" s="1">
        <v>0</v>
      </c>
      <c r="Q215" s="4">
        <v>0.5</v>
      </c>
    </row>
    <row r="216" spans="1:17" x14ac:dyDescent="0.25">
      <c r="A216" t="s">
        <v>8</v>
      </c>
      <c r="B216" s="1">
        <v>524</v>
      </c>
      <c r="C216" t="s">
        <v>44</v>
      </c>
      <c r="D216" s="1" t="s">
        <v>12</v>
      </c>
      <c r="E216" s="1">
        <v>82</v>
      </c>
      <c r="F216" s="1">
        <v>0</v>
      </c>
      <c r="G216" s="1">
        <v>0</v>
      </c>
      <c r="H216" s="8">
        <v>82</v>
      </c>
      <c r="J216" t="str">
        <f>"0000000509"</f>
        <v>0000000509</v>
      </c>
      <c r="K216" t="str">
        <f>"000524"</f>
        <v>000524</v>
      </c>
      <c r="L216" t="s">
        <v>44</v>
      </c>
      <c r="M216" t="s">
        <v>12</v>
      </c>
      <c r="N216" s="1">
        <v>76</v>
      </c>
      <c r="O216" s="1">
        <v>0</v>
      </c>
      <c r="P216" s="1">
        <v>0</v>
      </c>
      <c r="Q216" s="8">
        <v>76</v>
      </c>
    </row>
    <row r="217" spans="1:17" x14ac:dyDescent="0.25">
      <c r="A217" t="s">
        <v>8</v>
      </c>
      <c r="B217" s="1">
        <v>931</v>
      </c>
      <c r="C217" t="s">
        <v>145</v>
      </c>
      <c r="D217" s="1" t="s">
        <v>10</v>
      </c>
      <c r="E217" s="1">
        <v>65.5</v>
      </c>
      <c r="F217" s="1">
        <v>0</v>
      </c>
      <c r="G217" s="1">
        <v>20</v>
      </c>
      <c r="H217" s="4">
        <v>45.5</v>
      </c>
      <c r="J217" t="str">
        <f>"0000000431"</f>
        <v>0000000431</v>
      </c>
      <c r="K217" t="str">
        <f>"0000000931"</f>
        <v>0000000931</v>
      </c>
      <c r="L217" t="s">
        <v>145</v>
      </c>
      <c r="M217" t="s">
        <v>10</v>
      </c>
      <c r="N217" s="1">
        <v>65.5</v>
      </c>
      <c r="O217" s="1">
        <v>0</v>
      </c>
      <c r="P217" s="1">
        <v>-20</v>
      </c>
      <c r="Q217" s="4">
        <v>45.5</v>
      </c>
    </row>
    <row r="218" spans="1:17" x14ac:dyDescent="0.25">
      <c r="A218" t="s">
        <v>8</v>
      </c>
      <c r="B218" s="1">
        <v>525</v>
      </c>
      <c r="C218" t="s">
        <v>427</v>
      </c>
      <c r="D218" s="1" t="s">
        <v>12</v>
      </c>
      <c r="E218" s="1">
        <v>171</v>
      </c>
      <c r="F218" s="1">
        <v>0</v>
      </c>
      <c r="G218" s="1">
        <v>1</v>
      </c>
      <c r="H218" s="4">
        <v>170</v>
      </c>
      <c r="J218" t="str">
        <f>"0000000506"</f>
        <v>0000000506</v>
      </c>
      <c r="K218" t="str">
        <f>"000525"</f>
        <v>000525</v>
      </c>
      <c r="L218" t="s">
        <v>427</v>
      </c>
      <c r="M218" t="s">
        <v>12</v>
      </c>
      <c r="N218" s="1">
        <v>171</v>
      </c>
      <c r="O218" s="1">
        <v>0</v>
      </c>
      <c r="P218" s="1">
        <v>-1</v>
      </c>
      <c r="Q218" s="4">
        <v>170</v>
      </c>
    </row>
    <row r="219" spans="1:17" x14ac:dyDescent="0.25">
      <c r="A219" t="s">
        <v>8</v>
      </c>
      <c r="B219" s="1">
        <v>932</v>
      </c>
      <c r="C219" t="s">
        <v>241</v>
      </c>
      <c r="D219" s="1" t="s">
        <v>10</v>
      </c>
      <c r="E219" s="1">
        <v>71.5</v>
      </c>
      <c r="F219" s="1">
        <v>50</v>
      </c>
      <c r="G219" s="1">
        <v>25</v>
      </c>
      <c r="H219" s="8">
        <v>96.5</v>
      </c>
      <c r="J219" t="str">
        <f>"0000000438"</f>
        <v>0000000438</v>
      </c>
      <c r="K219" t="str">
        <f>"0000000932"</f>
        <v>0000000932</v>
      </c>
      <c r="L219" t="s">
        <v>241</v>
      </c>
      <c r="M219" t="s">
        <v>10</v>
      </c>
      <c r="N219" s="1">
        <v>6.5</v>
      </c>
      <c r="O219" s="1">
        <v>50</v>
      </c>
      <c r="P219" s="1">
        <v>-25</v>
      </c>
      <c r="Q219" s="8">
        <v>31.5</v>
      </c>
    </row>
    <row r="220" spans="1:17" x14ac:dyDescent="0.25">
      <c r="A220" t="s">
        <v>240</v>
      </c>
      <c r="B220" s="1">
        <v>523</v>
      </c>
      <c r="C220" t="s">
        <v>24</v>
      </c>
      <c r="D220" s="1" t="s">
        <v>12</v>
      </c>
      <c r="E220" s="1">
        <v>519.5</v>
      </c>
      <c r="F220" s="1">
        <v>20</v>
      </c>
      <c r="G220" s="1">
        <v>5</v>
      </c>
      <c r="H220" s="4">
        <v>534.5</v>
      </c>
      <c r="J220" t="str">
        <f>"0000000510"</f>
        <v>0000000510</v>
      </c>
      <c r="K220" t="str">
        <f>"000523"</f>
        <v>000523</v>
      </c>
      <c r="L220" t="s">
        <v>24</v>
      </c>
      <c r="M220" t="s">
        <v>12</v>
      </c>
      <c r="N220" s="1">
        <v>519.5</v>
      </c>
      <c r="O220" s="1">
        <v>20</v>
      </c>
      <c r="P220" s="1">
        <v>-5</v>
      </c>
      <c r="Q220" s="4">
        <v>534.5</v>
      </c>
    </row>
    <row r="221" spans="1:17" x14ac:dyDescent="0.25">
      <c r="A221" t="s">
        <v>8</v>
      </c>
      <c r="B221" s="1">
        <v>930</v>
      </c>
      <c r="C221" t="s">
        <v>139</v>
      </c>
      <c r="D221" s="1" t="s">
        <v>10</v>
      </c>
      <c r="E221" s="1">
        <v>5.75</v>
      </c>
      <c r="F221" s="1">
        <v>50</v>
      </c>
      <c r="G221" s="1">
        <v>32</v>
      </c>
      <c r="H221" s="4">
        <v>23.75</v>
      </c>
      <c r="J221" t="str">
        <f>"0000000450"</f>
        <v>0000000450</v>
      </c>
      <c r="K221" t="str">
        <f>"0000000930"</f>
        <v>0000000930</v>
      </c>
      <c r="L221" t="s">
        <v>139</v>
      </c>
      <c r="M221" t="s">
        <v>10</v>
      </c>
      <c r="N221" s="1">
        <v>5.75</v>
      </c>
      <c r="O221" s="1">
        <v>50</v>
      </c>
      <c r="P221" s="1">
        <v>-32</v>
      </c>
      <c r="Q221" s="4">
        <v>23.75</v>
      </c>
    </row>
    <row r="222" spans="1:17" x14ac:dyDescent="0.25">
      <c r="A222" t="s">
        <v>8</v>
      </c>
      <c r="B222" s="1">
        <v>526</v>
      </c>
      <c r="C222" t="s">
        <v>72</v>
      </c>
      <c r="D222" s="1" t="s">
        <v>12</v>
      </c>
      <c r="E222" s="1">
        <v>150</v>
      </c>
      <c r="F222" s="1">
        <v>0</v>
      </c>
      <c r="G222" s="1">
        <v>0</v>
      </c>
      <c r="H222" s="8">
        <v>150</v>
      </c>
      <c r="J222" t="str">
        <f>"0000000486"</f>
        <v>0000000486</v>
      </c>
      <c r="K222" t="str">
        <f>"000526"</f>
        <v>000526</v>
      </c>
      <c r="L222" t="s">
        <v>72</v>
      </c>
      <c r="M222" t="s">
        <v>12</v>
      </c>
      <c r="N222" s="1">
        <v>149</v>
      </c>
      <c r="O222" s="1">
        <v>0</v>
      </c>
      <c r="P222" s="1">
        <v>0</v>
      </c>
      <c r="Q222" s="8">
        <v>149</v>
      </c>
    </row>
    <row r="223" spans="1:17" x14ac:dyDescent="0.25">
      <c r="A223" t="s">
        <v>8</v>
      </c>
      <c r="B223" s="1">
        <v>933</v>
      </c>
      <c r="C223" t="s">
        <v>392</v>
      </c>
      <c r="D223" s="1" t="s">
        <v>10</v>
      </c>
      <c r="E223" s="1">
        <v>-4.75</v>
      </c>
      <c r="F223" s="1">
        <v>0</v>
      </c>
      <c r="G223" s="1">
        <v>0</v>
      </c>
      <c r="H223" s="8">
        <v>-4.75</v>
      </c>
      <c r="J223" t="str">
        <f>"0000000414"</f>
        <v>0000000414</v>
      </c>
      <c r="K223" t="str">
        <f>"0000000933"</f>
        <v>0000000933</v>
      </c>
      <c r="L223" t="s">
        <v>392</v>
      </c>
      <c r="M223" t="s">
        <v>10</v>
      </c>
      <c r="N223" s="1">
        <v>45.25</v>
      </c>
      <c r="O223" s="1">
        <v>0</v>
      </c>
      <c r="P223" s="1">
        <v>0</v>
      </c>
      <c r="Q223" s="8">
        <v>45.25</v>
      </c>
    </row>
    <row r="224" spans="1:17" x14ac:dyDescent="0.25">
      <c r="A224" t="s">
        <v>8</v>
      </c>
      <c r="B224" s="1">
        <v>522</v>
      </c>
      <c r="C224" t="s">
        <v>11</v>
      </c>
      <c r="D224" s="1" t="s">
        <v>12</v>
      </c>
      <c r="E224" s="1">
        <v>62.5</v>
      </c>
      <c r="F224" s="1">
        <v>0</v>
      </c>
      <c r="G224" s="1">
        <v>0</v>
      </c>
      <c r="H224" s="8">
        <v>62.5</v>
      </c>
      <c r="J224" t="str">
        <f>"0000000491"</f>
        <v>0000000491</v>
      </c>
      <c r="K224" t="str">
        <f>"000522"</f>
        <v>000522</v>
      </c>
      <c r="L224" t="s">
        <v>11</v>
      </c>
      <c r="M224" t="s">
        <v>12</v>
      </c>
      <c r="N224" s="1">
        <v>61.5</v>
      </c>
      <c r="O224" s="1">
        <v>0</v>
      </c>
      <c r="P224" s="1">
        <v>0</v>
      </c>
      <c r="Q224" s="8">
        <v>61.5</v>
      </c>
    </row>
    <row r="225" spans="1:17" x14ac:dyDescent="0.25">
      <c r="A225" t="s">
        <v>8</v>
      </c>
      <c r="B225" s="1">
        <v>929</v>
      </c>
      <c r="C225" t="s">
        <v>539</v>
      </c>
      <c r="D225" s="1" t="s">
        <v>10</v>
      </c>
      <c r="E225" s="1">
        <v>42.25</v>
      </c>
      <c r="F225" s="1">
        <v>0</v>
      </c>
      <c r="G225" s="1">
        <v>30</v>
      </c>
      <c r="H225" s="8">
        <v>12.25</v>
      </c>
      <c r="J225" t="str">
        <f>"0000000406"</f>
        <v>0000000406</v>
      </c>
      <c r="K225" t="str">
        <f>"0000000929"</f>
        <v>0000000929</v>
      </c>
      <c r="L225" t="s">
        <v>539</v>
      </c>
      <c r="M225" t="s">
        <v>10</v>
      </c>
      <c r="N225" s="1">
        <v>35.25</v>
      </c>
      <c r="O225" s="1">
        <v>0</v>
      </c>
      <c r="P225" s="1">
        <v>-30</v>
      </c>
      <c r="Q225" s="8">
        <v>5.25</v>
      </c>
    </row>
    <row r="226" spans="1:17" x14ac:dyDescent="0.25">
      <c r="A226" t="s">
        <v>8</v>
      </c>
      <c r="B226" s="1">
        <v>78</v>
      </c>
      <c r="C226" t="s">
        <v>144</v>
      </c>
      <c r="D226" s="1" t="s">
        <v>12</v>
      </c>
      <c r="E226" s="1">
        <v>2</v>
      </c>
      <c r="F226" s="1">
        <v>0</v>
      </c>
      <c r="G226" s="1">
        <v>0</v>
      </c>
      <c r="H226" s="8">
        <v>2</v>
      </c>
      <c r="J226" t="str">
        <f>"0000000514"</f>
        <v>0000000514</v>
      </c>
      <c r="K226" t="str">
        <f>"78"</f>
        <v>78</v>
      </c>
      <c r="L226" t="s">
        <v>144</v>
      </c>
      <c r="M226" t="s">
        <v>12</v>
      </c>
      <c r="N226" s="1">
        <v>0</v>
      </c>
      <c r="O226" s="1">
        <v>0</v>
      </c>
      <c r="P226" s="1">
        <v>0</v>
      </c>
      <c r="Q226" s="8">
        <v>0</v>
      </c>
    </row>
    <row r="227" spans="1:17" x14ac:dyDescent="0.25">
      <c r="A227" t="s">
        <v>8</v>
      </c>
      <c r="B227" s="1">
        <v>79</v>
      </c>
      <c r="C227" t="s">
        <v>434</v>
      </c>
      <c r="D227" s="1" t="s">
        <v>10</v>
      </c>
      <c r="E227" s="1">
        <v>0.25</v>
      </c>
      <c r="F227" s="1">
        <v>0</v>
      </c>
      <c r="G227" s="1">
        <v>0</v>
      </c>
      <c r="H227" s="4">
        <v>0.25</v>
      </c>
      <c r="J227" t="str">
        <f>"0000000409"</f>
        <v>0000000409</v>
      </c>
      <c r="K227" t="str">
        <f>"79"</f>
        <v>79</v>
      </c>
      <c r="L227" t="s">
        <v>434</v>
      </c>
      <c r="M227" t="s">
        <v>10</v>
      </c>
      <c r="N227" s="1">
        <v>0.25</v>
      </c>
      <c r="O227" s="1">
        <v>0</v>
      </c>
      <c r="P227" s="1">
        <v>0</v>
      </c>
      <c r="Q227" s="4">
        <v>0.25</v>
      </c>
    </row>
    <row r="228" spans="1:17" x14ac:dyDescent="0.25">
      <c r="A228" t="s">
        <v>8</v>
      </c>
      <c r="B228" s="1">
        <v>80</v>
      </c>
      <c r="C228" t="s">
        <v>25</v>
      </c>
      <c r="D228" s="1" t="s">
        <v>12</v>
      </c>
      <c r="E228" s="1">
        <v>8</v>
      </c>
      <c r="F228" s="1">
        <v>0</v>
      </c>
      <c r="G228" s="1">
        <v>1</v>
      </c>
      <c r="H228" s="4">
        <v>7</v>
      </c>
      <c r="J228" t="str">
        <f>"0000000490"</f>
        <v>0000000490</v>
      </c>
      <c r="K228" t="str">
        <f>"000080"</f>
        <v>000080</v>
      </c>
      <c r="L228" t="s">
        <v>25</v>
      </c>
      <c r="M228" t="s">
        <v>12</v>
      </c>
      <c r="N228" s="1">
        <v>8</v>
      </c>
      <c r="O228" s="1">
        <v>0</v>
      </c>
      <c r="P228" s="1">
        <v>-1</v>
      </c>
      <c r="Q228" s="4">
        <v>7</v>
      </c>
    </row>
    <row r="229" spans="1:17" x14ac:dyDescent="0.25">
      <c r="A229" t="s">
        <v>8</v>
      </c>
      <c r="B229" s="1">
        <v>81</v>
      </c>
      <c r="C229" t="s">
        <v>492</v>
      </c>
      <c r="D229" s="1" t="s">
        <v>10</v>
      </c>
      <c r="E229" s="1">
        <v>-23.75</v>
      </c>
      <c r="F229" s="1">
        <v>0</v>
      </c>
      <c r="G229" s="1">
        <v>10</v>
      </c>
      <c r="H229" s="8">
        <v>-33.75</v>
      </c>
      <c r="J229" t="str">
        <f>"0000000413"</f>
        <v>0000000413</v>
      </c>
      <c r="K229" t="str">
        <f>"000081"</f>
        <v>000081</v>
      </c>
      <c r="L229" t="s">
        <v>492</v>
      </c>
      <c r="M229" t="s">
        <v>10</v>
      </c>
      <c r="N229" s="1">
        <v>36.25</v>
      </c>
      <c r="O229" s="1">
        <v>0</v>
      </c>
      <c r="P229" s="1">
        <v>-10</v>
      </c>
      <c r="Q229" s="8">
        <v>26.25</v>
      </c>
    </row>
    <row r="230" spans="1:17" x14ac:dyDescent="0.25">
      <c r="A230" t="s">
        <v>8</v>
      </c>
      <c r="B230" s="1">
        <v>76</v>
      </c>
      <c r="C230" t="s">
        <v>100</v>
      </c>
      <c r="D230" s="1" t="s">
        <v>12</v>
      </c>
      <c r="E230" s="1">
        <v>44</v>
      </c>
      <c r="F230" s="1">
        <v>0</v>
      </c>
      <c r="G230" s="1">
        <v>0</v>
      </c>
      <c r="H230" s="8">
        <v>44</v>
      </c>
      <c r="J230" t="str">
        <f>"0000000475"</f>
        <v>0000000475</v>
      </c>
      <c r="K230" t="str">
        <f>"76"</f>
        <v>76</v>
      </c>
      <c r="L230" t="s">
        <v>100</v>
      </c>
      <c r="M230" t="s">
        <v>12</v>
      </c>
      <c r="N230" s="1">
        <v>43</v>
      </c>
      <c r="O230" s="1">
        <v>0</v>
      </c>
      <c r="P230" s="1">
        <v>0</v>
      </c>
      <c r="Q230" s="8">
        <v>43</v>
      </c>
    </row>
    <row r="231" spans="1:17" x14ac:dyDescent="0.25">
      <c r="A231" t="s">
        <v>8</v>
      </c>
      <c r="B231" s="1">
        <v>77</v>
      </c>
      <c r="C231" t="s">
        <v>435</v>
      </c>
      <c r="D231" s="1" t="s">
        <v>10</v>
      </c>
      <c r="E231" s="1">
        <v>48.5</v>
      </c>
      <c r="F231" s="1">
        <v>0</v>
      </c>
      <c r="G231" s="1">
        <v>0</v>
      </c>
      <c r="H231" s="4">
        <v>48.5</v>
      </c>
      <c r="J231" t="str">
        <f>"0000000829"</f>
        <v>0000000829</v>
      </c>
      <c r="K231" t="str">
        <f>"77"</f>
        <v>77</v>
      </c>
      <c r="L231" t="s">
        <v>435</v>
      </c>
      <c r="M231" t="s">
        <v>10</v>
      </c>
      <c r="N231" s="1">
        <v>48.5</v>
      </c>
      <c r="O231" s="1">
        <v>0</v>
      </c>
      <c r="P231" s="1">
        <v>0</v>
      </c>
      <c r="Q231" s="4">
        <v>48.5</v>
      </c>
    </row>
    <row r="232" spans="1:17" x14ac:dyDescent="0.25">
      <c r="A232" t="s">
        <v>8</v>
      </c>
      <c r="B232" s="1">
        <v>82</v>
      </c>
      <c r="C232" t="s">
        <v>43</v>
      </c>
      <c r="D232" s="1" t="s">
        <v>12</v>
      </c>
      <c r="E232" s="1">
        <v>1</v>
      </c>
      <c r="F232" s="1">
        <v>0</v>
      </c>
      <c r="G232" s="1">
        <v>0</v>
      </c>
      <c r="H232" s="8">
        <v>1</v>
      </c>
      <c r="J232" t="str">
        <f>"0000000394"</f>
        <v>0000000394</v>
      </c>
      <c r="K232" t="str">
        <f>"000082"</f>
        <v>000082</v>
      </c>
      <c r="L232" t="s">
        <v>43</v>
      </c>
      <c r="M232" t="s">
        <v>12</v>
      </c>
      <c r="N232" s="1">
        <v>0</v>
      </c>
      <c r="O232" s="1">
        <v>0</v>
      </c>
      <c r="P232" s="1">
        <v>0</v>
      </c>
      <c r="Q232" s="8">
        <v>0</v>
      </c>
    </row>
    <row r="233" spans="1:17" x14ac:dyDescent="0.25">
      <c r="A233" t="s">
        <v>8</v>
      </c>
      <c r="B233" s="1">
        <v>83</v>
      </c>
      <c r="C233" t="s">
        <v>482</v>
      </c>
      <c r="D233" s="1" t="s">
        <v>10</v>
      </c>
      <c r="E233" s="1">
        <v>0</v>
      </c>
      <c r="F233" s="1">
        <v>0</v>
      </c>
      <c r="G233" s="1">
        <v>0</v>
      </c>
      <c r="H233" s="4">
        <v>0</v>
      </c>
      <c r="J233" t="str">
        <f>"0000000472"</f>
        <v>0000000472</v>
      </c>
      <c r="K233" t="str">
        <f>"000083"</f>
        <v>000083</v>
      </c>
      <c r="L233" t="s">
        <v>482</v>
      </c>
      <c r="M233" t="s">
        <v>10</v>
      </c>
      <c r="N233" s="1">
        <v>0</v>
      </c>
      <c r="O233" s="1">
        <v>0</v>
      </c>
      <c r="P233" s="1">
        <v>0</v>
      </c>
      <c r="Q233" s="4">
        <v>0</v>
      </c>
    </row>
    <row r="234" spans="1:17" x14ac:dyDescent="0.25">
      <c r="A234" t="s">
        <v>8</v>
      </c>
      <c r="B234" s="1">
        <v>70</v>
      </c>
      <c r="C234" t="s">
        <v>66</v>
      </c>
      <c r="D234" s="1" t="s">
        <v>12</v>
      </c>
      <c r="E234" s="1">
        <v>0</v>
      </c>
      <c r="F234" s="1">
        <v>0</v>
      </c>
      <c r="G234" s="1">
        <v>0</v>
      </c>
      <c r="H234" s="4">
        <v>0</v>
      </c>
      <c r="J234" t="str">
        <f>"0000000416"</f>
        <v>0000000416</v>
      </c>
      <c r="K234" t="str">
        <f>"70"</f>
        <v>70</v>
      </c>
      <c r="L234" t="s">
        <v>66</v>
      </c>
      <c r="M234" t="s">
        <v>12</v>
      </c>
      <c r="N234" s="1">
        <v>0</v>
      </c>
      <c r="O234" s="1">
        <v>0</v>
      </c>
      <c r="P234" s="1">
        <v>0</v>
      </c>
      <c r="Q234" s="4">
        <v>0</v>
      </c>
    </row>
    <row r="235" spans="1:17" x14ac:dyDescent="0.25">
      <c r="A235" t="s">
        <v>65</v>
      </c>
      <c r="B235" s="1">
        <v>1401</v>
      </c>
      <c r="C235" t="s">
        <v>329</v>
      </c>
      <c r="D235" s="1" t="s">
        <v>10</v>
      </c>
      <c r="E235" s="1">
        <v>0</v>
      </c>
      <c r="F235" s="1">
        <v>0</v>
      </c>
      <c r="G235" s="1">
        <v>0</v>
      </c>
      <c r="H235" s="4">
        <v>0</v>
      </c>
      <c r="J235" t="str">
        <f>"0000000503"</f>
        <v>0000000503</v>
      </c>
      <c r="K235" t="str">
        <f>"0000001401"</f>
        <v>0000001401</v>
      </c>
      <c r="L235" t="s">
        <v>329</v>
      </c>
      <c r="M235" t="s">
        <v>10</v>
      </c>
      <c r="N235" s="1">
        <v>0</v>
      </c>
      <c r="O235" s="1">
        <v>0</v>
      </c>
      <c r="P235" s="1">
        <v>0</v>
      </c>
      <c r="Q235" s="4">
        <v>0</v>
      </c>
    </row>
    <row r="236" spans="1:17" x14ac:dyDescent="0.25">
      <c r="A236" t="s">
        <v>242</v>
      </c>
      <c r="B236" s="1">
        <v>69</v>
      </c>
      <c r="C236" t="s">
        <v>9</v>
      </c>
      <c r="D236" s="1" t="s">
        <v>10</v>
      </c>
      <c r="E236" s="1">
        <v>8</v>
      </c>
      <c r="F236" s="1">
        <v>0</v>
      </c>
      <c r="G236" s="1">
        <v>1</v>
      </c>
      <c r="H236" s="4">
        <v>7</v>
      </c>
      <c r="J236" t="str">
        <f>"0000000581"</f>
        <v>0000000581</v>
      </c>
      <c r="K236" t="str">
        <f>"69"</f>
        <v>69</v>
      </c>
      <c r="L236" t="s">
        <v>9</v>
      </c>
      <c r="M236" t="s">
        <v>10</v>
      </c>
      <c r="N236" s="1">
        <v>8</v>
      </c>
      <c r="O236" s="1">
        <v>0</v>
      </c>
      <c r="P236" s="1">
        <v>-1</v>
      </c>
      <c r="Q236" s="4">
        <v>7</v>
      </c>
    </row>
    <row r="237" spans="1:17" x14ac:dyDescent="0.25">
      <c r="A237" t="s">
        <v>8</v>
      </c>
      <c r="B237" s="1" t="s">
        <v>436</v>
      </c>
      <c r="C237" t="s">
        <v>437</v>
      </c>
      <c r="D237" s="1" t="s">
        <v>12</v>
      </c>
      <c r="E237" s="1">
        <v>41</v>
      </c>
      <c r="F237" s="1">
        <v>0</v>
      </c>
      <c r="G237" s="1">
        <v>0</v>
      </c>
      <c r="H237" s="8">
        <v>41</v>
      </c>
      <c r="J237" t="str">
        <f>"0000000531"</f>
        <v>0000000531</v>
      </c>
      <c r="K237" t="str">
        <f>"MYLORA349"</f>
        <v>MYLORA349</v>
      </c>
      <c r="L237" t="s">
        <v>437</v>
      </c>
      <c r="M237" t="s">
        <v>12</v>
      </c>
      <c r="N237" s="1">
        <v>36</v>
      </c>
      <c r="O237" s="1">
        <v>0</v>
      </c>
      <c r="P237" s="1">
        <v>0</v>
      </c>
      <c r="Q237" s="8">
        <v>36</v>
      </c>
    </row>
    <row r="238" spans="1:17" x14ac:dyDescent="0.25">
      <c r="A238" t="s">
        <v>8</v>
      </c>
      <c r="B238" s="1">
        <v>75</v>
      </c>
      <c r="C238" t="s">
        <v>438</v>
      </c>
      <c r="D238" s="1" t="s">
        <v>10</v>
      </c>
      <c r="E238" s="1">
        <v>0</v>
      </c>
      <c r="F238" s="1">
        <v>0</v>
      </c>
      <c r="G238" s="1">
        <v>0</v>
      </c>
      <c r="H238" s="4">
        <v>0</v>
      </c>
      <c r="J238" t="str">
        <f>"0000000367"</f>
        <v>0000000367</v>
      </c>
      <c r="K238" t="str">
        <f>"75"</f>
        <v>75</v>
      </c>
      <c r="L238" t="s">
        <v>438</v>
      </c>
      <c r="M238" t="s">
        <v>10</v>
      </c>
      <c r="N238" s="1">
        <v>0</v>
      </c>
      <c r="O238" s="1">
        <v>0</v>
      </c>
      <c r="P238" s="1">
        <v>0</v>
      </c>
      <c r="Q238" s="4">
        <v>0</v>
      </c>
    </row>
    <row r="239" spans="1:17" x14ac:dyDescent="0.25">
      <c r="A239" t="s">
        <v>8</v>
      </c>
      <c r="B239" s="1">
        <v>74</v>
      </c>
      <c r="C239" t="s">
        <v>14</v>
      </c>
      <c r="D239" s="1" t="s">
        <v>12</v>
      </c>
      <c r="E239" s="1">
        <v>0</v>
      </c>
      <c r="F239" s="1">
        <v>0</v>
      </c>
      <c r="G239" s="1">
        <v>0</v>
      </c>
      <c r="H239" s="4">
        <v>0</v>
      </c>
      <c r="J239" t="str">
        <f>"0000000855"</f>
        <v>0000000855</v>
      </c>
      <c r="K239" t="str">
        <f>"74"</f>
        <v>74</v>
      </c>
      <c r="L239" t="s">
        <v>14</v>
      </c>
      <c r="M239" t="s">
        <v>12</v>
      </c>
      <c r="N239" s="1">
        <v>0</v>
      </c>
      <c r="O239" s="1">
        <v>0</v>
      </c>
      <c r="P239" s="1">
        <v>0</v>
      </c>
      <c r="Q239" s="4">
        <v>0</v>
      </c>
    </row>
    <row r="240" spans="1:17" x14ac:dyDescent="0.25">
      <c r="A240" t="s">
        <v>8</v>
      </c>
      <c r="B240" s="1">
        <v>944</v>
      </c>
      <c r="C240" t="s">
        <v>93</v>
      </c>
      <c r="D240" s="1" t="s">
        <v>12</v>
      </c>
      <c r="E240" s="1">
        <v>0</v>
      </c>
      <c r="F240" s="1">
        <v>0</v>
      </c>
      <c r="G240" s="1">
        <v>0</v>
      </c>
      <c r="H240" s="4">
        <v>0</v>
      </c>
      <c r="J240" t="str">
        <f>"0000000856"</f>
        <v>0000000856</v>
      </c>
      <c r="K240" t="str">
        <f>"0000000944"</f>
        <v>0000000944</v>
      </c>
      <c r="L240" t="s">
        <v>93</v>
      </c>
      <c r="M240" t="s">
        <v>12</v>
      </c>
      <c r="N240" s="1">
        <v>0</v>
      </c>
      <c r="O240" s="1">
        <v>0</v>
      </c>
      <c r="P240" s="1">
        <v>0</v>
      </c>
      <c r="Q240" s="4">
        <v>0</v>
      </c>
    </row>
    <row r="241" spans="1:17" x14ac:dyDescent="0.25">
      <c r="A241" t="s">
        <v>92</v>
      </c>
      <c r="B241" s="1">
        <v>325</v>
      </c>
      <c r="C241" t="s">
        <v>91</v>
      </c>
      <c r="D241" s="1" t="s">
        <v>12</v>
      </c>
      <c r="E241" s="1">
        <v>0</v>
      </c>
      <c r="F241" s="1">
        <v>0</v>
      </c>
      <c r="G241" s="1">
        <v>0</v>
      </c>
      <c r="H241" s="4">
        <v>0</v>
      </c>
      <c r="J241" t="str">
        <f>"0000000410"</f>
        <v>0000000410</v>
      </c>
      <c r="K241" t="str">
        <f>"325"</f>
        <v>325</v>
      </c>
      <c r="L241" t="s">
        <v>91</v>
      </c>
      <c r="M241" t="s">
        <v>12</v>
      </c>
      <c r="N241" s="1">
        <v>0</v>
      </c>
      <c r="O241" s="1">
        <v>0</v>
      </c>
      <c r="P241" s="1">
        <v>0</v>
      </c>
      <c r="Q241" s="4">
        <v>0</v>
      </c>
    </row>
    <row r="242" spans="1:17" x14ac:dyDescent="0.25">
      <c r="A242" t="s">
        <v>90</v>
      </c>
      <c r="B242" s="1">
        <v>326</v>
      </c>
      <c r="C242" t="s">
        <v>215</v>
      </c>
      <c r="D242" s="1" t="s">
        <v>10</v>
      </c>
      <c r="E242" s="1">
        <v>0</v>
      </c>
      <c r="F242" s="1">
        <v>0</v>
      </c>
      <c r="G242" s="1">
        <v>0</v>
      </c>
      <c r="H242" s="4">
        <v>0</v>
      </c>
      <c r="J242" t="str">
        <f>"0000000857"</f>
        <v>0000000857</v>
      </c>
      <c r="K242" t="str">
        <f>"326"</f>
        <v>326</v>
      </c>
      <c r="L242" t="s">
        <v>215</v>
      </c>
      <c r="M242" t="s">
        <v>10</v>
      </c>
      <c r="N242" s="1">
        <v>0</v>
      </c>
      <c r="O242" s="1">
        <v>0</v>
      </c>
      <c r="P242" s="1">
        <v>0</v>
      </c>
      <c r="Q242" s="4">
        <v>0</v>
      </c>
    </row>
    <row r="243" spans="1:17" x14ac:dyDescent="0.25">
      <c r="A243" t="s">
        <v>8</v>
      </c>
      <c r="B243" s="1">
        <v>1677</v>
      </c>
      <c r="C243" t="s">
        <v>554</v>
      </c>
      <c r="D243" s="1" t="s">
        <v>12</v>
      </c>
      <c r="E243" s="1">
        <v>6</v>
      </c>
      <c r="F243" s="1">
        <v>80</v>
      </c>
      <c r="G243" s="1">
        <v>0</v>
      </c>
      <c r="H243" s="4">
        <v>86</v>
      </c>
      <c r="J243" t="str">
        <f>"0000000858"</f>
        <v>0000000858</v>
      </c>
      <c r="K243" t="str">
        <f>"0000001677"</f>
        <v>0000001677</v>
      </c>
      <c r="L243" t="s">
        <v>554</v>
      </c>
      <c r="M243" t="s">
        <v>12</v>
      </c>
      <c r="N243" s="1">
        <v>6</v>
      </c>
      <c r="O243" s="1">
        <v>80</v>
      </c>
      <c r="P243" s="1">
        <v>0</v>
      </c>
      <c r="Q243" s="4">
        <v>86</v>
      </c>
    </row>
    <row r="244" spans="1:17" x14ac:dyDescent="0.25">
      <c r="A244" t="s">
        <v>553</v>
      </c>
      <c r="B244" s="1">
        <v>1678</v>
      </c>
      <c r="C244" t="s">
        <v>557</v>
      </c>
      <c r="D244" s="1" t="s">
        <v>10</v>
      </c>
      <c r="E244" s="1">
        <v>64</v>
      </c>
      <c r="F244" s="1">
        <v>0</v>
      </c>
      <c r="G244" s="1">
        <v>0</v>
      </c>
      <c r="H244" s="4">
        <v>64</v>
      </c>
      <c r="J244" t="str">
        <f>"0000000497"</f>
        <v>0000000497</v>
      </c>
      <c r="K244" t="str">
        <f>"0000001678"</f>
        <v>0000001678</v>
      </c>
      <c r="L244" t="s">
        <v>557</v>
      </c>
      <c r="M244" t="s">
        <v>10</v>
      </c>
      <c r="N244" s="1">
        <v>64</v>
      </c>
      <c r="O244" s="1">
        <v>0</v>
      </c>
      <c r="P244" s="1">
        <v>0</v>
      </c>
      <c r="Q244" s="4">
        <v>64</v>
      </c>
    </row>
    <row r="245" spans="1:17" x14ac:dyDescent="0.25">
      <c r="A245" t="s">
        <v>556</v>
      </c>
      <c r="B245" s="1">
        <v>779</v>
      </c>
      <c r="C245" t="s">
        <v>73</v>
      </c>
      <c r="D245" s="1" t="s">
        <v>10</v>
      </c>
      <c r="E245" s="1">
        <v>0</v>
      </c>
      <c r="F245" s="1">
        <v>0</v>
      </c>
      <c r="G245" s="1">
        <v>0</v>
      </c>
      <c r="H245" s="4">
        <v>0</v>
      </c>
      <c r="J245" t="str">
        <f>"0000000446"</f>
        <v>0000000446</v>
      </c>
      <c r="K245" t="str">
        <f>"779"</f>
        <v>779</v>
      </c>
      <c r="L245" t="s">
        <v>73</v>
      </c>
      <c r="M245" t="s">
        <v>10</v>
      </c>
      <c r="N245" s="1">
        <v>0</v>
      </c>
      <c r="O245" s="1">
        <v>0</v>
      </c>
      <c r="P245" s="1">
        <v>0</v>
      </c>
      <c r="Q245" s="4">
        <v>0</v>
      </c>
    </row>
    <row r="246" spans="1:17" x14ac:dyDescent="0.25">
      <c r="A246" t="s">
        <v>8</v>
      </c>
      <c r="B246" s="1">
        <v>1679</v>
      </c>
      <c r="C246" t="s">
        <v>563</v>
      </c>
      <c r="D246" s="1" t="s">
        <v>12</v>
      </c>
      <c r="E246" s="1">
        <v>9</v>
      </c>
      <c r="F246" s="1">
        <v>0</v>
      </c>
      <c r="G246" s="1">
        <v>0</v>
      </c>
      <c r="H246" s="4">
        <v>9</v>
      </c>
      <c r="J246" t="str">
        <f>"0000000499"</f>
        <v>0000000499</v>
      </c>
      <c r="K246" t="str">
        <f>"0000001679"</f>
        <v>0000001679</v>
      </c>
      <c r="L246" t="s">
        <v>563</v>
      </c>
      <c r="M246" t="s">
        <v>12</v>
      </c>
      <c r="N246" s="1">
        <v>9</v>
      </c>
      <c r="O246" s="1">
        <v>0</v>
      </c>
      <c r="P246" s="1">
        <v>0</v>
      </c>
      <c r="Q246" s="4">
        <v>9</v>
      </c>
    </row>
    <row r="247" spans="1:17" x14ac:dyDescent="0.25">
      <c r="A247" t="s">
        <v>8</v>
      </c>
      <c r="B247" s="1">
        <v>1680</v>
      </c>
      <c r="C247" t="s">
        <v>417</v>
      </c>
      <c r="D247" s="1" t="s">
        <v>10</v>
      </c>
      <c r="E247" s="1">
        <v>0</v>
      </c>
      <c r="F247" s="1">
        <v>0</v>
      </c>
      <c r="G247" s="1">
        <v>0</v>
      </c>
      <c r="H247" s="4">
        <v>0</v>
      </c>
      <c r="J247" t="str">
        <f>"0000000440"</f>
        <v>0000000440</v>
      </c>
      <c r="K247" t="str">
        <f>"0000001680"</f>
        <v>0000001680</v>
      </c>
      <c r="L247" t="s">
        <v>417</v>
      </c>
      <c r="M247" t="s">
        <v>10</v>
      </c>
      <c r="N247" s="1">
        <v>0</v>
      </c>
      <c r="O247" s="1">
        <v>0</v>
      </c>
      <c r="P247" s="1">
        <v>0</v>
      </c>
      <c r="Q247" s="4">
        <v>0</v>
      </c>
    </row>
    <row r="248" spans="1:17" x14ac:dyDescent="0.25">
      <c r="A248" t="s">
        <v>562</v>
      </c>
      <c r="B248" s="1" t="s">
        <v>480</v>
      </c>
      <c r="C248" t="s">
        <v>481</v>
      </c>
      <c r="D248" s="1" t="s">
        <v>12</v>
      </c>
      <c r="E248" s="1">
        <v>6</v>
      </c>
      <c r="F248" s="1">
        <v>0</v>
      </c>
      <c r="G248" s="1">
        <v>0</v>
      </c>
      <c r="H248" s="8">
        <v>6</v>
      </c>
      <c r="J248" t="str">
        <f>"0000000530"</f>
        <v>0000000530</v>
      </c>
      <c r="K248" t="str">
        <f>"MYLORA420"</f>
        <v>MYLORA420</v>
      </c>
      <c r="L248" t="s">
        <v>481</v>
      </c>
      <c r="M248" t="s">
        <v>12</v>
      </c>
      <c r="N248" s="1">
        <v>0</v>
      </c>
      <c r="O248" s="1">
        <v>0</v>
      </c>
      <c r="P248" s="1">
        <v>0</v>
      </c>
      <c r="Q248" s="8">
        <v>0</v>
      </c>
    </row>
    <row r="249" spans="1:17" x14ac:dyDescent="0.25">
      <c r="A249" t="s">
        <v>416</v>
      </c>
      <c r="B249" s="1">
        <v>95</v>
      </c>
      <c r="C249" t="s">
        <v>13</v>
      </c>
      <c r="D249" s="1" t="s">
        <v>10</v>
      </c>
      <c r="E249" s="1">
        <v>0</v>
      </c>
      <c r="F249" s="1">
        <v>0</v>
      </c>
      <c r="G249" s="1">
        <v>0</v>
      </c>
      <c r="H249" s="4">
        <v>0</v>
      </c>
      <c r="J249" t="str">
        <f>"0000000365"</f>
        <v>0000000365</v>
      </c>
      <c r="K249" t="str">
        <f>"95"</f>
        <v>95</v>
      </c>
      <c r="L249" t="s">
        <v>13</v>
      </c>
      <c r="M249" t="s">
        <v>10</v>
      </c>
      <c r="N249" s="1">
        <v>0</v>
      </c>
      <c r="O249" s="1">
        <v>0</v>
      </c>
      <c r="P249" s="1">
        <v>0</v>
      </c>
      <c r="Q249" s="4">
        <v>0</v>
      </c>
    </row>
    <row r="250" spans="1:17" x14ac:dyDescent="0.25">
      <c r="A250" t="s">
        <v>8</v>
      </c>
      <c r="B250" s="1" t="s">
        <v>74</v>
      </c>
      <c r="C250" t="s">
        <v>75</v>
      </c>
      <c r="D250" s="1" t="s">
        <v>12</v>
      </c>
      <c r="E250" s="1">
        <v>2</v>
      </c>
      <c r="F250" s="1">
        <v>0</v>
      </c>
      <c r="G250" s="1">
        <v>0</v>
      </c>
      <c r="H250" s="8">
        <v>2</v>
      </c>
      <c r="J250" t="str">
        <f>"0000000502"</f>
        <v>0000000502</v>
      </c>
      <c r="K250" t="str">
        <f>"MYLORA422"</f>
        <v>MYLORA422</v>
      </c>
      <c r="L250" t="s">
        <v>75</v>
      </c>
      <c r="M250" t="s">
        <v>12</v>
      </c>
      <c r="N250" s="1">
        <v>2</v>
      </c>
      <c r="O250" s="1">
        <v>0</v>
      </c>
      <c r="P250" s="1">
        <v>0</v>
      </c>
      <c r="Q250" s="8">
        <v>2</v>
      </c>
    </row>
    <row r="251" spans="1:17" x14ac:dyDescent="0.25">
      <c r="A251" t="s">
        <v>8</v>
      </c>
      <c r="B251" s="1">
        <v>97</v>
      </c>
      <c r="C251" t="s">
        <v>439</v>
      </c>
      <c r="D251" s="1" t="s">
        <v>10</v>
      </c>
      <c r="E251" s="1">
        <v>6.75</v>
      </c>
      <c r="F251" s="1">
        <v>0</v>
      </c>
      <c r="G251" s="1">
        <v>0</v>
      </c>
      <c r="H251" s="4">
        <v>6.75</v>
      </c>
      <c r="J251" t="str">
        <f>"0000000401"</f>
        <v>0000000401</v>
      </c>
      <c r="K251" t="str">
        <f>"97"</f>
        <v>97</v>
      </c>
      <c r="L251" t="s">
        <v>439</v>
      </c>
      <c r="M251" t="s">
        <v>10</v>
      </c>
      <c r="N251" s="1">
        <v>6.75</v>
      </c>
      <c r="O251" s="1">
        <v>0</v>
      </c>
      <c r="P251" s="1">
        <v>0</v>
      </c>
      <c r="Q251" s="4">
        <v>6.75</v>
      </c>
    </row>
    <row r="252" spans="1:17" x14ac:dyDescent="0.25">
      <c r="A252" t="s">
        <v>8</v>
      </c>
      <c r="B252" s="1">
        <v>322</v>
      </c>
      <c r="C252" t="s">
        <v>538</v>
      </c>
      <c r="D252" s="1" t="s">
        <v>12</v>
      </c>
      <c r="E252" s="1">
        <v>0</v>
      </c>
      <c r="F252" s="1">
        <v>0</v>
      </c>
      <c r="G252" s="1">
        <v>0</v>
      </c>
      <c r="H252" s="4">
        <v>0</v>
      </c>
      <c r="J252" t="str">
        <f>"0000000476"</f>
        <v>0000000476</v>
      </c>
      <c r="K252" t="str">
        <f>"322"</f>
        <v>322</v>
      </c>
      <c r="L252" t="s">
        <v>538</v>
      </c>
      <c r="M252" t="s">
        <v>12</v>
      </c>
      <c r="N252" s="1">
        <v>0</v>
      </c>
      <c r="O252" s="1">
        <v>0</v>
      </c>
      <c r="P252" s="1">
        <v>0</v>
      </c>
      <c r="Q252" s="4">
        <v>0</v>
      </c>
    </row>
    <row r="253" spans="1:17" x14ac:dyDescent="0.25">
      <c r="A253" t="s">
        <v>8</v>
      </c>
      <c r="B253" s="1">
        <v>324</v>
      </c>
      <c r="C253" t="s">
        <v>76</v>
      </c>
      <c r="D253" s="1" t="s">
        <v>10</v>
      </c>
      <c r="E253" s="1">
        <v>0</v>
      </c>
      <c r="F253" s="1">
        <v>0</v>
      </c>
      <c r="G253" s="1">
        <v>0</v>
      </c>
      <c r="H253" s="4">
        <v>0</v>
      </c>
      <c r="J253" t="str">
        <f>"0000000429"</f>
        <v>0000000429</v>
      </c>
      <c r="K253" t="str">
        <f>"324"</f>
        <v>324</v>
      </c>
      <c r="L253" t="s">
        <v>76</v>
      </c>
      <c r="M253" t="s">
        <v>10</v>
      </c>
      <c r="N253" s="1">
        <v>0</v>
      </c>
      <c r="O253" s="1">
        <v>0</v>
      </c>
      <c r="P253" s="1">
        <v>0</v>
      </c>
      <c r="Q253" s="4">
        <v>0</v>
      </c>
    </row>
    <row r="254" spans="1:17" x14ac:dyDescent="0.25">
      <c r="A254" t="s">
        <v>8</v>
      </c>
      <c r="B254" s="1">
        <v>72</v>
      </c>
      <c r="C254" t="s">
        <v>201</v>
      </c>
      <c r="D254" s="1" t="s">
        <v>12</v>
      </c>
      <c r="E254" s="1">
        <v>57</v>
      </c>
      <c r="F254" s="1">
        <v>80</v>
      </c>
      <c r="G254" s="1">
        <v>0</v>
      </c>
      <c r="H254" s="8">
        <v>137</v>
      </c>
      <c r="J254" t="str">
        <f>"0000000009"</f>
        <v>0000000009</v>
      </c>
      <c r="K254" t="str">
        <f>"72"</f>
        <v>72</v>
      </c>
      <c r="L254" t="s">
        <v>201</v>
      </c>
      <c r="M254" t="s">
        <v>12</v>
      </c>
      <c r="N254" s="1">
        <v>4</v>
      </c>
      <c r="O254" s="1">
        <v>80</v>
      </c>
      <c r="P254" s="1">
        <v>0</v>
      </c>
      <c r="Q254" s="8">
        <v>84</v>
      </c>
    </row>
    <row r="255" spans="1:17" x14ac:dyDescent="0.25">
      <c r="A255" t="s">
        <v>8</v>
      </c>
      <c r="B255" s="1">
        <v>73</v>
      </c>
      <c r="C255" t="s">
        <v>393</v>
      </c>
      <c r="D255" s="1" t="s">
        <v>10</v>
      </c>
      <c r="E255" s="1">
        <v>20</v>
      </c>
      <c r="F255" s="1">
        <v>0</v>
      </c>
      <c r="G255" s="1">
        <v>0</v>
      </c>
      <c r="H255" s="8">
        <v>20</v>
      </c>
      <c r="J255" t="str">
        <f>"0000000266"</f>
        <v>0000000266</v>
      </c>
      <c r="K255" t="str">
        <f>"73"</f>
        <v>73</v>
      </c>
      <c r="L255" t="s">
        <v>393</v>
      </c>
      <c r="M255" t="s">
        <v>10</v>
      </c>
      <c r="N255" s="1">
        <v>17</v>
      </c>
      <c r="O255" s="1">
        <v>0</v>
      </c>
      <c r="P255" s="1">
        <v>0</v>
      </c>
      <c r="Q255" s="8">
        <v>17</v>
      </c>
    </row>
    <row r="256" spans="1:17" x14ac:dyDescent="0.25">
      <c r="A256" t="s">
        <v>8</v>
      </c>
      <c r="B256" s="1" t="s">
        <v>334</v>
      </c>
      <c r="C256" t="s">
        <v>335</v>
      </c>
      <c r="D256" s="1" t="s">
        <v>12</v>
      </c>
      <c r="E256" s="1">
        <v>0</v>
      </c>
      <c r="F256" s="1">
        <v>0</v>
      </c>
      <c r="G256" s="1">
        <v>0</v>
      </c>
      <c r="H256" s="4">
        <v>0</v>
      </c>
      <c r="J256" t="str">
        <f>"0000000166"</f>
        <v>0000000166</v>
      </c>
      <c r="K256" t="str">
        <f>"MYLORA360"</f>
        <v>MYLORA360</v>
      </c>
      <c r="L256" t="s">
        <v>335</v>
      </c>
      <c r="M256" t="s">
        <v>12</v>
      </c>
      <c r="N256" s="1">
        <v>0</v>
      </c>
      <c r="O256" s="1">
        <v>0</v>
      </c>
      <c r="P256" s="1">
        <v>0</v>
      </c>
      <c r="Q256" s="4">
        <v>0</v>
      </c>
    </row>
    <row r="257" spans="1:17" x14ac:dyDescent="0.25">
      <c r="A257" t="s">
        <v>8</v>
      </c>
      <c r="B257" s="1">
        <v>884</v>
      </c>
      <c r="C257" t="s">
        <v>534</v>
      </c>
      <c r="D257" s="1" t="s">
        <v>10</v>
      </c>
      <c r="E257" s="1">
        <v>1</v>
      </c>
      <c r="F257" s="1">
        <v>0</v>
      </c>
      <c r="G257" s="1">
        <v>0</v>
      </c>
      <c r="H257" s="4">
        <v>1</v>
      </c>
      <c r="J257" t="str">
        <f>"0000000783"</f>
        <v>0000000783</v>
      </c>
      <c r="K257" t="str">
        <f>"000884"</f>
        <v>000884</v>
      </c>
      <c r="L257" t="s">
        <v>534</v>
      </c>
      <c r="M257" t="s">
        <v>10</v>
      </c>
      <c r="N257" s="1">
        <v>1</v>
      </c>
      <c r="O257" s="1">
        <v>0</v>
      </c>
      <c r="P257" s="1">
        <v>0</v>
      </c>
      <c r="Q257" s="4">
        <v>1</v>
      </c>
    </row>
    <row r="258" spans="1:17" x14ac:dyDescent="0.25">
      <c r="A258" t="s">
        <v>333</v>
      </c>
      <c r="B258" s="1">
        <v>222</v>
      </c>
      <c r="C258" t="s">
        <v>349</v>
      </c>
      <c r="D258" s="1" t="s">
        <v>16</v>
      </c>
      <c r="E258" s="1">
        <v>27</v>
      </c>
      <c r="F258" s="1">
        <v>0</v>
      </c>
      <c r="G258" s="1">
        <v>0</v>
      </c>
      <c r="H258" s="4">
        <v>27</v>
      </c>
      <c r="J258" t="str">
        <f>"0000000756"</f>
        <v>0000000756</v>
      </c>
      <c r="K258" t="str">
        <f>"222"</f>
        <v>222</v>
      </c>
      <c r="L258" t="s">
        <v>349</v>
      </c>
      <c r="M258" t="s">
        <v>16</v>
      </c>
      <c r="N258" s="1">
        <v>27</v>
      </c>
      <c r="O258" s="1">
        <v>0</v>
      </c>
      <c r="P258" s="1">
        <v>0</v>
      </c>
      <c r="Q258" s="4">
        <v>27</v>
      </c>
    </row>
    <row r="259" spans="1:17" x14ac:dyDescent="0.25">
      <c r="A259" t="s">
        <v>8</v>
      </c>
      <c r="B259" s="1" t="s">
        <v>98</v>
      </c>
      <c r="C259" t="s">
        <v>99</v>
      </c>
      <c r="D259" s="1" t="s">
        <v>20</v>
      </c>
      <c r="E259" s="1">
        <v>6</v>
      </c>
      <c r="F259" s="1">
        <v>0</v>
      </c>
      <c r="G259" s="1">
        <v>0</v>
      </c>
      <c r="H259" s="8">
        <v>6</v>
      </c>
      <c r="J259" t="str">
        <f>"0000000805"</f>
        <v>0000000805</v>
      </c>
      <c r="K259" t="str">
        <f>"MYLORA137"</f>
        <v>MYLORA137</v>
      </c>
      <c r="L259" t="s">
        <v>99</v>
      </c>
      <c r="M259" t="s">
        <v>20</v>
      </c>
      <c r="N259" s="1">
        <v>5</v>
      </c>
      <c r="O259" s="1">
        <v>0</v>
      </c>
      <c r="P259" s="1">
        <v>0</v>
      </c>
      <c r="Q259" s="8">
        <v>5</v>
      </c>
    </row>
    <row r="260" spans="1:17" x14ac:dyDescent="0.25">
      <c r="A260" t="s">
        <v>8</v>
      </c>
      <c r="B260" s="1">
        <v>783</v>
      </c>
      <c r="C260" t="s">
        <v>290</v>
      </c>
      <c r="D260" s="1" t="s">
        <v>16</v>
      </c>
      <c r="E260" s="1">
        <v>0</v>
      </c>
      <c r="F260" s="1">
        <v>0</v>
      </c>
      <c r="G260" s="1">
        <v>0</v>
      </c>
      <c r="H260" s="4">
        <v>0</v>
      </c>
      <c r="J260" t="str">
        <f>"0000000634"</f>
        <v>0000000634</v>
      </c>
      <c r="K260" t="str">
        <f>"783"</f>
        <v>783</v>
      </c>
      <c r="L260" t="s">
        <v>290</v>
      </c>
      <c r="M260" t="s">
        <v>16</v>
      </c>
      <c r="N260" s="1">
        <v>0</v>
      </c>
      <c r="O260" s="1">
        <v>0</v>
      </c>
      <c r="P260" s="1">
        <v>0</v>
      </c>
      <c r="Q260" s="4">
        <v>0</v>
      </c>
    </row>
    <row r="261" spans="1:17" x14ac:dyDescent="0.25">
      <c r="A261" t="s">
        <v>97</v>
      </c>
      <c r="B261" s="1">
        <v>1353</v>
      </c>
      <c r="C261" t="s">
        <v>157</v>
      </c>
      <c r="D261" s="1" t="s">
        <v>39</v>
      </c>
      <c r="E261" s="1">
        <v>7</v>
      </c>
      <c r="F261" s="1">
        <v>0</v>
      </c>
      <c r="G261" s="1">
        <v>0</v>
      </c>
      <c r="H261" s="4">
        <v>7</v>
      </c>
      <c r="J261" t="str">
        <f>"0000000148"</f>
        <v>0000000148</v>
      </c>
      <c r="K261" t="str">
        <f>"0000001353"</f>
        <v>0000001353</v>
      </c>
      <c r="L261" t="s">
        <v>157</v>
      </c>
      <c r="M261" t="s">
        <v>39</v>
      </c>
      <c r="N261" s="1">
        <v>7</v>
      </c>
      <c r="O261" s="1">
        <v>0</v>
      </c>
      <c r="P261" s="1">
        <v>0</v>
      </c>
      <c r="Q261" s="4">
        <v>7</v>
      </c>
    </row>
    <row r="262" spans="1:17" x14ac:dyDescent="0.25">
      <c r="A262" t="s">
        <v>8</v>
      </c>
      <c r="B262" s="1">
        <v>1569</v>
      </c>
      <c r="C262" t="s">
        <v>516</v>
      </c>
      <c r="D262" s="1" t="s">
        <v>20</v>
      </c>
      <c r="E262" s="1">
        <v>0</v>
      </c>
      <c r="F262" s="1">
        <v>0</v>
      </c>
      <c r="G262" s="1">
        <v>0</v>
      </c>
      <c r="H262" s="4">
        <v>0</v>
      </c>
      <c r="J262" t="str">
        <f>"0000000344"</f>
        <v>0000000344</v>
      </c>
      <c r="K262" t="str">
        <f>"0000001569"</f>
        <v>0000001569</v>
      </c>
      <c r="L262" t="s">
        <v>598</v>
      </c>
      <c r="M262" t="s">
        <v>20</v>
      </c>
      <c r="N262" s="1">
        <v>0</v>
      </c>
      <c r="O262" s="1">
        <v>0</v>
      </c>
      <c r="P262" s="1">
        <v>0</v>
      </c>
      <c r="Q262" s="4">
        <v>0</v>
      </c>
    </row>
    <row r="263" spans="1:17" x14ac:dyDescent="0.25">
      <c r="A263" t="s">
        <v>8</v>
      </c>
      <c r="B263" s="1">
        <v>1616</v>
      </c>
      <c r="C263" t="s">
        <v>555</v>
      </c>
      <c r="D263" s="1" t="s">
        <v>16</v>
      </c>
      <c r="E263" s="1">
        <v>0</v>
      </c>
      <c r="F263" s="1">
        <v>0</v>
      </c>
      <c r="G263" s="1">
        <v>0</v>
      </c>
      <c r="H263" s="4">
        <v>0</v>
      </c>
      <c r="J263" t="str">
        <f>"0000000867"</f>
        <v>0000000867</v>
      </c>
      <c r="K263" t="str">
        <f>"0000001616"</f>
        <v>0000001616</v>
      </c>
      <c r="L263" t="s">
        <v>555</v>
      </c>
      <c r="M263" t="s">
        <v>16</v>
      </c>
      <c r="N263" s="1">
        <v>0</v>
      </c>
      <c r="O263" s="1">
        <v>0</v>
      </c>
      <c r="P263" s="1">
        <v>0</v>
      </c>
      <c r="Q263" s="4">
        <v>0</v>
      </c>
    </row>
    <row r="264" spans="1:17" x14ac:dyDescent="0.25">
      <c r="A264" t="s">
        <v>126</v>
      </c>
      <c r="B264" s="1" t="s">
        <v>440</v>
      </c>
      <c r="C264" t="s">
        <v>441</v>
      </c>
      <c r="D264" s="1" t="s">
        <v>39</v>
      </c>
      <c r="E264" s="1">
        <v>0</v>
      </c>
      <c r="F264" s="1">
        <v>0</v>
      </c>
      <c r="G264" s="1">
        <v>0</v>
      </c>
      <c r="H264" s="4">
        <v>0</v>
      </c>
      <c r="J264" t="str">
        <f>"0000000676"</f>
        <v>0000000676</v>
      </c>
      <c r="K264" t="str">
        <f>"MYLORA145"</f>
        <v>MYLORA145</v>
      </c>
      <c r="L264" t="s">
        <v>441</v>
      </c>
      <c r="M264" t="s">
        <v>39</v>
      </c>
      <c r="N264" s="1">
        <v>0</v>
      </c>
      <c r="O264" s="1">
        <v>0</v>
      </c>
      <c r="P264" s="1">
        <v>0</v>
      </c>
      <c r="Q264" s="4">
        <v>0</v>
      </c>
    </row>
    <row r="265" spans="1:17" x14ac:dyDescent="0.25">
      <c r="A265" t="s">
        <v>375</v>
      </c>
      <c r="B265" s="1" t="s">
        <v>585</v>
      </c>
      <c r="C265" t="s">
        <v>586</v>
      </c>
      <c r="D265" s="1" t="s">
        <v>16</v>
      </c>
      <c r="E265" s="1">
        <v>17</v>
      </c>
      <c r="F265" s="1">
        <v>0</v>
      </c>
      <c r="G265" s="1">
        <v>0</v>
      </c>
      <c r="H265" s="4">
        <v>17</v>
      </c>
      <c r="J265" t="str">
        <f>"0000000621"</f>
        <v>0000000621</v>
      </c>
      <c r="K265" t="str">
        <f>"MYLORA146"</f>
        <v>MYLORA146</v>
      </c>
      <c r="L265" t="s">
        <v>586</v>
      </c>
      <c r="M265" t="s">
        <v>16</v>
      </c>
      <c r="N265" s="1">
        <v>17</v>
      </c>
      <c r="O265" s="1">
        <v>0</v>
      </c>
      <c r="P265" s="1">
        <v>0</v>
      </c>
      <c r="Q265" s="4">
        <v>17</v>
      </c>
    </row>
    <row r="266" spans="1:17" x14ac:dyDescent="0.25">
      <c r="A266" t="s">
        <v>8</v>
      </c>
      <c r="B266" s="1" t="s">
        <v>359</v>
      </c>
      <c r="C266" t="s">
        <v>360</v>
      </c>
      <c r="D266" s="1" t="s">
        <v>20</v>
      </c>
      <c r="E266" s="1">
        <v>9</v>
      </c>
      <c r="F266" s="1">
        <v>0</v>
      </c>
      <c r="G266" s="1">
        <v>0</v>
      </c>
      <c r="H266" s="4">
        <v>9</v>
      </c>
      <c r="J266" t="str">
        <f>"0000000638"</f>
        <v>0000000638</v>
      </c>
      <c r="K266" t="str">
        <f>"MYLORA147"</f>
        <v>MYLORA147</v>
      </c>
      <c r="L266" t="s">
        <v>360</v>
      </c>
      <c r="M266" t="s">
        <v>20</v>
      </c>
      <c r="N266" s="1">
        <v>9</v>
      </c>
      <c r="O266" s="1">
        <v>0</v>
      </c>
      <c r="P266" s="1">
        <v>0</v>
      </c>
      <c r="Q266" s="4">
        <v>9</v>
      </c>
    </row>
    <row r="267" spans="1:17" x14ac:dyDescent="0.25">
      <c r="A267" t="s">
        <v>8</v>
      </c>
      <c r="B267" s="1">
        <v>1686</v>
      </c>
      <c r="C267" t="s">
        <v>495</v>
      </c>
      <c r="D267" s="1" t="s">
        <v>89</v>
      </c>
      <c r="E267" s="1">
        <v>0</v>
      </c>
      <c r="F267" s="1">
        <v>0</v>
      </c>
      <c r="G267" s="1">
        <v>0</v>
      </c>
      <c r="H267" s="4">
        <v>0</v>
      </c>
      <c r="J267" t="str">
        <f>"0000000516"</f>
        <v>0000000516</v>
      </c>
      <c r="K267" t="str">
        <f>"0000001686"</f>
        <v>0000001686</v>
      </c>
      <c r="L267" t="s">
        <v>495</v>
      </c>
      <c r="M267" t="s">
        <v>89</v>
      </c>
      <c r="N267" s="1">
        <v>0</v>
      </c>
      <c r="O267" s="1">
        <v>0</v>
      </c>
      <c r="P267" s="1">
        <v>0</v>
      </c>
      <c r="Q267" s="4">
        <v>0</v>
      </c>
    </row>
    <row r="268" spans="1:17" x14ac:dyDescent="0.25">
      <c r="A268" t="s">
        <v>101</v>
      </c>
      <c r="B268" s="1">
        <v>226</v>
      </c>
      <c r="C268" t="s">
        <v>400</v>
      </c>
      <c r="D268" s="1" t="s">
        <v>39</v>
      </c>
      <c r="E268" s="1">
        <v>3</v>
      </c>
      <c r="F268" s="1">
        <v>0</v>
      </c>
      <c r="G268" s="1">
        <v>0</v>
      </c>
      <c r="H268" s="8">
        <v>3</v>
      </c>
      <c r="J268" t="str">
        <f>"0000000430"</f>
        <v>0000000430</v>
      </c>
      <c r="K268" t="str">
        <f>"226"</f>
        <v>226</v>
      </c>
      <c r="L268" t="s">
        <v>400</v>
      </c>
      <c r="M268" t="s">
        <v>39</v>
      </c>
      <c r="N268" s="1">
        <v>0</v>
      </c>
      <c r="O268" s="1">
        <v>0</v>
      </c>
      <c r="P268" s="1">
        <v>0</v>
      </c>
      <c r="Q268" s="8">
        <v>0</v>
      </c>
    </row>
    <row r="269" spans="1:17" x14ac:dyDescent="0.25">
      <c r="A269" t="s">
        <v>105</v>
      </c>
      <c r="B269" s="1">
        <v>265</v>
      </c>
      <c r="C269" t="s">
        <v>520</v>
      </c>
      <c r="D269" s="1" t="s">
        <v>39</v>
      </c>
      <c r="E269" s="1">
        <v>0</v>
      </c>
      <c r="F269" s="1">
        <v>0</v>
      </c>
      <c r="G269" s="1">
        <v>0</v>
      </c>
      <c r="H269" s="4">
        <v>0</v>
      </c>
      <c r="J269" t="str">
        <f>"0000000463"</f>
        <v>0000000463</v>
      </c>
      <c r="K269" t="str">
        <f>"265"</f>
        <v>265</v>
      </c>
      <c r="L269" t="s">
        <v>520</v>
      </c>
      <c r="M269" t="s">
        <v>39</v>
      </c>
      <c r="N269" s="1">
        <v>0</v>
      </c>
      <c r="O269" s="1">
        <v>0</v>
      </c>
      <c r="P269" s="1">
        <v>0</v>
      </c>
      <c r="Q269" s="4">
        <v>0</v>
      </c>
    </row>
    <row r="270" spans="1:17" x14ac:dyDescent="0.25">
      <c r="A270" t="s">
        <v>97</v>
      </c>
      <c r="B270" s="1" t="s">
        <v>291</v>
      </c>
      <c r="C270" t="s">
        <v>292</v>
      </c>
      <c r="D270" s="1" t="s">
        <v>39</v>
      </c>
      <c r="E270" s="1">
        <v>0</v>
      </c>
      <c r="F270" s="1">
        <v>0</v>
      </c>
      <c r="G270" s="1">
        <v>0</v>
      </c>
      <c r="H270" s="4">
        <v>0</v>
      </c>
      <c r="J270" t="str">
        <f>"0000000464"</f>
        <v>0000000464</v>
      </c>
      <c r="K270" t="str">
        <f>"MYLORA358"</f>
        <v>MYLORA358</v>
      </c>
      <c r="L270" t="s">
        <v>292</v>
      </c>
      <c r="M270" t="s">
        <v>39</v>
      </c>
      <c r="N270" s="1">
        <v>0</v>
      </c>
      <c r="O270" s="1">
        <v>0</v>
      </c>
      <c r="P270" s="1">
        <v>0</v>
      </c>
      <c r="Q270" s="4">
        <v>0</v>
      </c>
    </row>
    <row r="271" spans="1:17" x14ac:dyDescent="0.25">
      <c r="A271" t="s">
        <v>132</v>
      </c>
      <c r="B271" s="1" t="s">
        <v>33</v>
      </c>
      <c r="C271" t="s">
        <v>34</v>
      </c>
      <c r="D271" s="1" t="s">
        <v>12</v>
      </c>
      <c r="E271" s="1">
        <v>0</v>
      </c>
      <c r="F271" s="1">
        <v>0</v>
      </c>
      <c r="G271" s="1">
        <v>0</v>
      </c>
      <c r="H271" s="4">
        <v>0</v>
      </c>
      <c r="J271" t="str">
        <f>"0000000349"</f>
        <v>0000000349</v>
      </c>
      <c r="K271" t="str">
        <f>"MYLORA388"</f>
        <v>MYLORA388</v>
      </c>
      <c r="L271" t="s">
        <v>34</v>
      </c>
      <c r="M271" t="s">
        <v>12</v>
      </c>
      <c r="N271" s="1">
        <v>0</v>
      </c>
      <c r="O271" s="1">
        <v>0</v>
      </c>
      <c r="P271" s="1">
        <v>0</v>
      </c>
      <c r="Q271" s="4">
        <v>0</v>
      </c>
    </row>
    <row r="272" spans="1:17" x14ac:dyDescent="0.25">
      <c r="A272" t="s">
        <v>8</v>
      </c>
      <c r="B272" s="1">
        <v>662</v>
      </c>
      <c r="C272" t="s">
        <v>456</v>
      </c>
      <c r="D272" s="1" t="s">
        <v>10</v>
      </c>
      <c r="E272" s="1">
        <v>0</v>
      </c>
      <c r="F272" s="1">
        <v>0</v>
      </c>
      <c r="G272" s="1">
        <v>0</v>
      </c>
      <c r="H272" s="4">
        <v>0</v>
      </c>
      <c r="J272" t="str">
        <f>"0000000076"</f>
        <v>0000000076</v>
      </c>
      <c r="K272" t="str">
        <f>"662"</f>
        <v>662</v>
      </c>
      <c r="L272" t="s">
        <v>456</v>
      </c>
      <c r="M272" t="s">
        <v>10</v>
      </c>
      <c r="N272" s="1">
        <v>0</v>
      </c>
      <c r="O272" s="1">
        <v>0</v>
      </c>
      <c r="P272" s="1">
        <v>0</v>
      </c>
      <c r="Q272" s="4">
        <v>0</v>
      </c>
    </row>
    <row r="273" spans="1:17" x14ac:dyDescent="0.25">
      <c r="A273" t="s">
        <v>32</v>
      </c>
      <c r="B273" s="1">
        <v>565</v>
      </c>
      <c r="C273" t="s">
        <v>454</v>
      </c>
      <c r="D273" s="1" t="s">
        <v>332</v>
      </c>
      <c r="E273" s="1">
        <v>1</v>
      </c>
      <c r="F273" s="1">
        <v>0</v>
      </c>
      <c r="G273" s="1">
        <v>0</v>
      </c>
      <c r="H273" s="8">
        <v>1</v>
      </c>
      <c r="J273" t="str">
        <f>"0000000343"</f>
        <v>0000000343</v>
      </c>
      <c r="K273" t="str">
        <f>"565"</f>
        <v>565</v>
      </c>
      <c r="L273" t="s">
        <v>454</v>
      </c>
      <c r="M273" t="s">
        <v>332</v>
      </c>
      <c r="N273" s="1">
        <v>0</v>
      </c>
      <c r="O273" s="1">
        <v>0</v>
      </c>
      <c r="P273" s="1">
        <v>0</v>
      </c>
      <c r="Q273" s="8">
        <v>0</v>
      </c>
    </row>
    <row r="274" spans="1:17" x14ac:dyDescent="0.25">
      <c r="A274" t="s">
        <v>455</v>
      </c>
      <c r="B274" s="1">
        <v>566</v>
      </c>
      <c r="C274" t="s">
        <v>331</v>
      </c>
      <c r="D274" s="1" t="s">
        <v>332</v>
      </c>
      <c r="E274" s="1">
        <v>1</v>
      </c>
      <c r="F274" s="1">
        <v>0</v>
      </c>
      <c r="G274" s="1">
        <v>0</v>
      </c>
      <c r="H274" s="8">
        <v>1</v>
      </c>
      <c r="J274" t="str">
        <f>"0000000202"</f>
        <v>0000000202</v>
      </c>
      <c r="K274" t="str">
        <f>"566"</f>
        <v>566</v>
      </c>
      <c r="L274" t="s">
        <v>331</v>
      </c>
      <c r="M274" t="s">
        <v>332</v>
      </c>
      <c r="N274" s="1">
        <v>0</v>
      </c>
      <c r="O274" s="1">
        <v>0</v>
      </c>
      <c r="P274" s="1">
        <v>0</v>
      </c>
      <c r="Q274" s="8">
        <v>0</v>
      </c>
    </row>
    <row r="275" spans="1:17" x14ac:dyDescent="0.25">
      <c r="A275" t="s">
        <v>35</v>
      </c>
      <c r="B275" s="1" t="s">
        <v>161</v>
      </c>
      <c r="C275" t="s">
        <v>162</v>
      </c>
      <c r="D275" s="1" t="s">
        <v>10</v>
      </c>
      <c r="E275" s="1">
        <v>10</v>
      </c>
      <c r="F275" s="1">
        <v>0</v>
      </c>
      <c r="G275" s="1">
        <v>0</v>
      </c>
      <c r="H275" s="8">
        <v>10</v>
      </c>
      <c r="J275" t="str">
        <f>"0000000256"</f>
        <v>0000000256</v>
      </c>
      <c r="K275" t="str">
        <f>"MYLORA297"</f>
        <v>MYLORA297</v>
      </c>
      <c r="L275" t="s">
        <v>162</v>
      </c>
      <c r="M275" t="s">
        <v>10</v>
      </c>
      <c r="N275" s="1">
        <v>0</v>
      </c>
      <c r="O275" s="1">
        <v>0</v>
      </c>
      <c r="P275" s="1">
        <v>0</v>
      </c>
      <c r="Q275" s="8">
        <v>0</v>
      </c>
    </row>
    <row r="276" spans="1:17" x14ac:dyDescent="0.25">
      <c r="A276" t="s">
        <v>35</v>
      </c>
      <c r="B276" s="1">
        <v>156</v>
      </c>
      <c r="C276" t="s">
        <v>176</v>
      </c>
      <c r="D276" s="1" t="s">
        <v>16</v>
      </c>
      <c r="E276" s="1">
        <v>0</v>
      </c>
      <c r="F276" s="1">
        <v>0</v>
      </c>
      <c r="G276" s="1">
        <v>0</v>
      </c>
      <c r="H276" s="4">
        <v>0</v>
      </c>
      <c r="J276" t="str">
        <f>"0000000342"</f>
        <v>0000000342</v>
      </c>
      <c r="K276" t="str">
        <f>"156"</f>
        <v>156</v>
      </c>
      <c r="L276" t="s">
        <v>176</v>
      </c>
      <c r="M276" t="s">
        <v>16</v>
      </c>
      <c r="N276" s="1">
        <v>0</v>
      </c>
      <c r="O276" s="1">
        <v>0</v>
      </c>
      <c r="P276" s="1">
        <v>0</v>
      </c>
      <c r="Q276" s="4">
        <v>0</v>
      </c>
    </row>
    <row r="277" spans="1:17" x14ac:dyDescent="0.25">
      <c r="A277" t="s">
        <v>8</v>
      </c>
      <c r="B277" s="1" t="s">
        <v>29</v>
      </c>
      <c r="C277" t="s">
        <v>30</v>
      </c>
      <c r="D277" s="1" t="s">
        <v>20</v>
      </c>
      <c r="E277" s="1">
        <v>8</v>
      </c>
      <c r="F277" s="1">
        <v>0</v>
      </c>
      <c r="G277" s="1">
        <v>0</v>
      </c>
      <c r="H277" s="4">
        <v>8</v>
      </c>
      <c r="J277" t="str">
        <f>"0000000625"</f>
        <v>0000000625</v>
      </c>
      <c r="K277" t="str">
        <f>"MYLORA149"</f>
        <v>MYLORA149</v>
      </c>
      <c r="L277" t="s">
        <v>30</v>
      </c>
      <c r="M277" t="s">
        <v>20</v>
      </c>
      <c r="N277" s="1">
        <v>8</v>
      </c>
      <c r="O277" s="1">
        <v>0</v>
      </c>
      <c r="P277" s="1">
        <v>0</v>
      </c>
      <c r="Q277" s="4">
        <v>8</v>
      </c>
    </row>
    <row r="278" spans="1:17" x14ac:dyDescent="0.25">
      <c r="A278" t="s">
        <v>8</v>
      </c>
      <c r="B278" s="1">
        <v>268</v>
      </c>
      <c r="C278" t="s">
        <v>23</v>
      </c>
      <c r="D278" s="1" t="s">
        <v>16</v>
      </c>
      <c r="E278" s="1">
        <v>6</v>
      </c>
      <c r="F278" s="1">
        <v>0</v>
      </c>
      <c r="G278" s="1">
        <v>0</v>
      </c>
      <c r="H278" s="4">
        <v>6</v>
      </c>
      <c r="J278" t="str">
        <f>"0000000223"</f>
        <v>0000000223</v>
      </c>
      <c r="K278" t="str">
        <f>"268"</f>
        <v>268</v>
      </c>
      <c r="L278" t="s">
        <v>23</v>
      </c>
      <c r="M278" t="s">
        <v>16</v>
      </c>
      <c r="N278" s="1">
        <v>6</v>
      </c>
      <c r="O278" s="1">
        <v>0</v>
      </c>
      <c r="P278" s="1">
        <v>0</v>
      </c>
      <c r="Q278" s="4">
        <v>6</v>
      </c>
    </row>
    <row r="279" spans="1:17" x14ac:dyDescent="0.25">
      <c r="A279" t="s">
        <v>28</v>
      </c>
      <c r="B279" s="1">
        <v>590</v>
      </c>
      <c r="C279" t="s">
        <v>594</v>
      </c>
      <c r="D279" s="1" t="s">
        <v>16</v>
      </c>
      <c r="E279" s="1">
        <v>7</v>
      </c>
      <c r="F279" s="1">
        <v>0</v>
      </c>
      <c r="G279" s="1">
        <v>0</v>
      </c>
      <c r="H279" s="4">
        <v>7</v>
      </c>
      <c r="J279" t="str">
        <f>"0000000179"</f>
        <v>0000000179</v>
      </c>
      <c r="K279" t="str">
        <f>"590"</f>
        <v>590</v>
      </c>
      <c r="L279" t="s">
        <v>594</v>
      </c>
      <c r="M279" t="s">
        <v>16</v>
      </c>
      <c r="N279" s="1">
        <v>7</v>
      </c>
      <c r="O279" s="1">
        <v>0</v>
      </c>
      <c r="P279" s="1">
        <v>0</v>
      </c>
      <c r="Q279" s="4">
        <v>7</v>
      </c>
    </row>
    <row r="280" spans="1:17" x14ac:dyDescent="0.25">
      <c r="A280" t="s">
        <v>8</v>
      </c>
      <c r="B280" s="1" t="s">
        <v>442</v>
      </c>
      <c r="C280" t="s">
        <v>443</v>
      </c>
      <c r="D280" s="1" t="s">
        <v>20</v>
      </c>
      <c r="E280" s="1">
        <v>0</v>
      </c>
      <c r="F280" s="1">
        <v>0</v>
      </c>
      <c r="G280" s="1">
        <v>0</v>
      </c>
      <c r="H280" s="4">
        <v>0</v>
      </c>
      <c r="J280" t="str">
        <f>"0000000320"</f>
        <v>0000000320</v>
      </c>
      <c r="K280" t="str">
        <f>"MYLORA151"</f>
        <v>MYLORA151</v>
      </c>
      <c r="L280" t="s">
        <v>443</v>
      </c>
      <c r="M280" t="s">
        <v>20</v>
      </c>
      <c r="N280" s="1">
        <v>0</v>
      </c>
      <c r="O280" s="1">
        <v>0</v>
      </c>
      <c r="P280" s="1">
        <v>0</v>
      </c>
      <c r="Q280" s="4">
        <v>0</v>
      </c>
    </row>
    <row r="281" spans="1:17" x14ac:dyDescent="0.25">
      <c r="A281" t="s">
        <v>593</v>
      </c>
      <c r="B281" s="1" t="s">
        <v>463</v>
      </c>
      <c r="C281" t="s">
        <v>464</v>
      </c>
      <c r="D281" s="1" t="s">
        <v>39</v>
      </c>
      <c r="E281" s="1">
        <v>0</v>
      </c>
      <c r="F281" s="1">
        <v>0</v>
      </c>
      <c r="G281" s="1">
        <v>0</v>
      </c>
      <c r="H281" s="4">
        <v>0</v>
      </c>
      <c r="J281" t="str">
        <f>"0000000176"</f>
        <v>0000000176</v>
      </c>
      <c r="K281" t="str">
        <f>"MYLORA153"</f>
        <v>MYLORA153</v>
      </c>
      <c r="L281" t="s">
        <v>464</v>
      </c>
      <c r="M281" t="s">
        <v>39</v>
      </c>
      <c r="N281" s="1">
        <v>0</v>
      </c>
      <c r="O281" s="1">
        <v>0</v>
      </c>
      <c r="P281" s="1">
        <v>0</v>
      </c>
      <c r="Q281" s="4">
        <v>0</v>
      </c>
    </row>
    <row r="282" spans="1:17" x14ac:dyDescent="0.25">
      <c r="A282" t="s">
        <v>8</v>
      </c>
      <c r="B282" s="1" t="s">
        <v>503</v>
      </c>
      <c r="C282" t="s">
        <v>504</v>
      </c>
      <c r="D282" s="1" t="s">
        <v>16</v>
      </c>
      <c r="E282" s="1">
        <v>2</v>
      </c>
      <c r="F282" s="1">
        <v>0</v>
      </c>
      <c r="G282" s="1">
        <v>0</v>
      </c>
      <c r="H282" s="4">
        <v>2</v>
      </c>
      <c r="J282" t="str">
        <f>"0000000788"</f>
        <v>0000000788</v>
      </c>
      <c r="K282" t="str">
        <f>"MYLORA318"</f>
        <v>MYLORA318</v>
      </c>
      <c r="L282" t="s">
        <v>504</v>
      </c>
      <c r="M282" t="s">
        <v>16</v>
      </c>
      <c r="N282" s="1">
        <v>2</v>
      </c>
      <c r="O282" s="1">
        <v>0</v>
      </c>
      <c r="P282" s="1">
        <v>0</v>
      </c>
      <c r="Q282" s="4">
        <v>2</v>
      </c>
    </row>
    <row r="283" spans="1:17" x14ac:dyDescent="0.25">
      <c r="A283" t="s">
        <v>17</v>
      </c>
      <c r="B283" s="1">
        <v>820</v>
      </c>
      <c r="C283" t="s">
        <v>350</v>
      </c>
      <c r="D283" s="1" t="s">
        <v>16</v>
      </c>
      <c r="E283" s="1">
        <v>0</v>
      </c>
      <c r="F283" s="1">
        <v>0</v>
      </c>
      <c r="G283" s="1">
        <v>0</v>
      </c>
      <c r="H283" s="4">
        <v>0</v>
      </c>
      <c r="J283" t="str">
        <f>"0000000175"</f>
        <v>0000000175</v>
      </c>
      <c r="K283" t="str">
        <f>"820"</f>
        <v>820</v>
      </c>
      <c r="L283" t="s">
        <v>350</v>
      </c>
      <c r="M283" t="s">
        <v>16</v>
      </c>
      <c r="N283" s="1">
        <v>0</v>
      </c>
      <c r="O283" s="1">
        <v>0</v>
      </c>
      <c r="P283" s="1">
        <v>0</v>
      </c>
      <c r="Q283" s="4">
        <v>0</v>
      </c>
    </row>
    <row r="284" spans="1:17" x14ac:dyDescent="0.25">
      <c r="A284" t="s">
        <v>502</v>
      </c>
      <c r="B284" s="1">
        <v>858</v>
      </c>
      <c r="C284" t="s">
        <v>372</v>
      </c>
      <c r="D284" s="1" t="s">
        <v>20</v>
      </c>
      <c r="E284" s="1">
        <v>7</v>
      </c>
      <c r="F284" s="1">
        <v>0</v>
      </c>
      <c r="G284" s="1">
        <v>0</v>
      </c>
      <c r="H284" s="8">
        <v>7</v>
      </c>
      <c r="J284" t="str">
        <f>"0000000200"</f>
        <v>0000000200</v>
      </c>
      <c r="K284" t="str">
        <f>"858"</f>
        <v>858</v>
      </c>
      <c r="L284" t="s">
        <v>372</v>
      </c>
      <c r="M284" t="s">
        <v>20</v>
      </c>
      <c r="N284" s="1">
        <v>5</v>
      </c>
      <c r="O284" s="1">
        <v>0</v>
      </c>
      <c r="P284" s="1">
        <v>0</v>
      </c>
      <c r="Q284" s="8">
        <v>5</v>
      </c>
    </row>
    <row r="285" spans="1:17" x14ac:dyDescent="0.25">
      <c r="A285" t="s">
        <v>8</v>
      </c>
      <c r="B285" s="1">
        <v>859</v>
      </c>
      <c r="C285" t="s">
        <v>109</v>
      </c>
      <c r="D285" s="1" t="s">
        <v>16</v>
      </c>
      <c r="E285" s="1">
        <v>36</v>
      </c>
      <c r="F285" s="1">
        <v>0</v>
      </c>
      <c r="G285" s="1">
        <v>0</v>
      </c>
      <c r="H285" s="8">
        <v>36</v>
      </c>
      <c r="J285" t="str">
        <f>"0000000339"</f>
        <v>0000000339</v>
      </c>
      <c r="K285" t="str">
        <f>"859"</f>
        <v>859</v>
      </c>
      <c r="L285" t="s">
        <v>109</v>
      </c>
      <c r="M285" t="s">
        <v>16</v>
      </c>
      <c r="N285" s="1">
        <v>35</v>
      </c>
      <c r="O285" s="1">
        <v>0</v>
      </c>
      <c r="P285" s="1">
        <v>0</v>
      </c>
      <c r="Q285" s="8">
        <v>35</v>
      </c>
    </row>
    <row r="286" spans="1:17" x14ac:dyDescent="0.25">
      <c r="A286" t="s">
        <v>126</v>
      </c>
      <c r="B286" s="1">
        <v>1358</v>
      </c>
      <c r="C286" t="s">
        <v>133</v>
      </c>
      <c r="D286" s="1" t="s">
        <v>20</v>
      </c>
      <c r="E286" s="1">
        <v>0</v>
      </c>
      <c r="F286" s="1">
        <v>0</v>
      </c>
      <c r="G286" s="1">
        <v>0</v>
      </c>
      <c r="H286" s="4">
        <v>0</v>
      </c>
      <c r="J286" t="str">
        <f>"0000000199"</f>
        <v>0000000199</v>
      </c>
      <c r="K286" t="str">
        <f>"0000001358"</f>
        <v>0000001358</v>
      </c>
      <c r="L286" t="s">
        <v>133</v>
      </c>
      <c r="M286" t="s">
        <v>20</v>
      </c>
      <c r="N286" s="1">
        <v>0</v>
      </c>
      <c r="O286" s="1">
        <v>0</v>
      </c>
      <c r="P286" s="1">
        <v>0</v>
      </c>
      <c r="Q286" s="4">
        <v>0</v>
      </c>
    </row>
    <row r="287" spans="1:17" x14ac:dyDescent="0.25">
      <c r="A287" t="s">
        <v>108</v>
      </c>
      <c r="B287" s="1">
        <v>857</v>
      </c>
      <c r="C287" t="s">
        <v>486</v>
      </c>
      <c r="D287" s="1" t="s">
        <v>16</v>
      </c>
      <c r="E287" s="1">
        <v>0</v>
      </c>
      <c r="F287" s="1">
        <v>0</v>
      </c>
      <c r="G287" s="1">
        <v>0</v>
      </c>
      <c r="H287" s="4">
        <v>0</v>
      </c>
      <c r="J287" t="str">
        <f>"0000000820"</f>
        <v>0000000820</v>
      </c>
      <c r="K287" t="str">
        <f>"857"</f>
        <v>857</v>
      </c>
      <c r="L287" t="s">
        <v>486</v>
      </c>
      <c r="M287" t="s">
        <v>16</v>
      </c>
      <c r="N287" s="1">
        <v>0</v>
      </c>
      <c r="O287" s="1">
        <v>0</v>
      </c>
      <c r="P287" s="1">
        <v>0</v>
      </c>
      <c r="Q287" s="4">
        <v>0</v>
      </c>
    </row>
    <row r="288" spans="1:17" x14ac:dyDescent="0.25">
      <c r="A288" t="s">
        <v>132</v>
      </c>
      <c r="B288" s="1">
        <v>273</v>
      </c>
      <c r="C288" t="s">
        <v>311</v>
      </c>
      <c r="D288" s="1" t="s">
        <v>16</v>
      </c>
      <c r="E288" s="1">
        <v>37</v>
      </c>
      <c r="F288" s="1">
        <v>0</v>
      </c>
      <c r="G288" s="1">
        <v>0</v>
      </c>
      <c r="H288" s="4">
        <v>37</v>
      </c>
      <c r="J288" t="str">
        <f>"0000000208"</f>
        <v>0000000208</v>
      </c>
      <c r="K288" t="str">
        <f>"273"</f>
        <v>273</v>
      </c>
      <c r="L288" t="s">
        <v>311</v>
      </c>
      <c r="M288" t="s">
        <v>16</v>
      </c>
      <c r="N288" s="1">
        <v>37</v>
      </c>
      <c r="O288" s="1">
        <v>0</v>
      </c>
      <c r="P288" s="1">
        <v>0</v>
      </c>
      <c r="Q288" s="4">
        <v>37</v>
      </c>
    </row>
    <row r="289" spans="1:17" x14ac:dyDescent="0.25">
      <c r="A289" t="s">
        <v>485</v>
      </c>
      <c r="B289" s="1" t="s">
        <v>551</v>
      </c>
      <c r="C289" t="s">
        <v>552</v>
      </c>
      <c r="D289" s="1" t="s">
        <v>20</v>
      </c>
      <c r="E289" s="1">
        <v>1</v>
      </c>
      <c r="F289" s="1">
        <v>0</v>
      </c>
      <c r="G289" s="1">
        <v>0</v>
      </c>
      <c r="H289" s="4">
        <v>1</v>
      </c>
      <c r="J289" t="str">
        <f>"0000000822"</f>
        <v>0000000822</v>
      </c>
      <c r="K289" t="str">
        <f>"MYLORA155"</f>
        <v>MYLORA155</v>
      </c>
      <c r="L289" t="s">
        <v>552</v>
      </c>
      <c r="M289" t="s">
        <v>20</v>
      </c>
      <c r="N289" s="1">
        <v>1</v>
      </c>
      <c r="O289" s="1">
        <v>0</v>
      </c>
      <c r="P289" s="1">
        <v>0</v>
      </c>
      <c r="Q289" s="4">
        <v>1</v>
      </c>
    </row>
    <row r="290" spans="1:17" x14ac:dyDescent="0.25">
      <c r="A290" t="s">
        <v>8</v>
      </c>
      <c r="B290" s="1" t="s">
        <v>272</v>
      </c>
      <c r="C290" t="s">
        <v>273</v>
      </c>
      <c r="D290" s="1" t="s">
        <v>16</v>
      </c>
      <c r="E290" s="1">
        <v>94</v>
      </c>
      <c r="F290" s="1">
        <v>0</v>
      </c>
      <c r="G290" s="1">
        <v>0</v>
      </c>
      <c r="H290" s="8">
        <v>94</v>
      </c>
      <c r="J290" t="str">
        <f>"0000000197"</f>
        <v>0000000197</v>
      </c>
      <c r="K290" t="str">
        <f>"MYLORA247"</f>
        <v>MYLORA247</v>
      </c>
      <c r="L290" t="s">
        <v>273</v>
      </c>
      <c r="M290" t="s">
        <v>16</v>
      </c>
      <c r="N290" s="1">
        <v>91</v>
      </c>
      <c r="O290" s="1">
        <v>0</v>
      </c>
      <c r="P290" s="1">
        <v>0</v>
      </c>
      <c r="Q290" s="8">
        <v>91</v>
      </c>
    </row>
    <row r="291" spans="1:17" x14ac:dyDescent="0.25">
      <c r="A291" t="s">
        <v>114</v>
      </c>
      <c r="B291" s="1">
        <v>1392</v>
      </c>
      <c r="C291" t="s">
        <v>115</v>
      </c>
      <c r="D291" s="1" t="s">
        <v>20</v>
      </c>
      <c r="E291" s="1">
        <v>0</v>
      </c>
      <c r="F291" s="1">
        <v>0</v>
      </c>
      <c r="G291" s="1">
        <v>0</v>
      </c>
      <c r="H291" s="4">
        <v>0</v>
      </c>
      <c r="J291" t="str">
        <f>"0000000761"</f>
        <v>0000000761</v>
      </c>
      <c r="K291" t="str">
        <f>"0000001392"</f>
        <v>0000001392</v>
      </c>
      <c r="L291" t="s">
        <v>115</v>
      </c>
      <c r="M291" t="s">
        <v>20</v>
      </c>
      <c r="N291" s="1">
        <v>0</v>
      </c>
      <c r="O291" s="1">
        <v>0</v>
      </c>
      <c r="P291" s="1">
        <v>0</v>
      </c>
      <c r="Q291" s="4">
        <v>0</v>
      </c>
    </row>
    <row r="292" spans="1:17" x14ac:dyDescent="0.25">
      <c r="A292" t="s">
        <v>8</v>
      </c>
      <c r="B292" s="1">
        <v>34</v>
      </c>
      <c r="C292" t="s">
        <v>293</v>
      </c>
      <c r="D292" s="1" t="s">
        <v>16</v>
      </c>
      <c r="E292" s="1">
        <v>70</v>
      </c>
      <c r="F292" s="1">
        <v>0</v>
      </c>
      <c r="G292" s="1">
        <v>0</v>
      </c>
      <c r="H292" s="4">
        <v>70</v>
      </c>
      <c r="J292" t="str">
        <f>"0000000203"</f>
        <v>0000000203</v>
      </c>
      <c r="K292" t="str">
        <f>"34"</f>
        <v>34</v>
      </c>
      <c r="L292" t="s">
        <v>293</v>
      </c>
      <c r="M292" t="s">
        <v>16</v>
      </c>
      <c r="N292" s="1">
        <v>70</v>
      </c>
      <c r="O292" s="1">
        <v>0</v>
      </c>
      <c r="P292" s="1">
        <v>0</v>
      </c>
      <c r="Q292" s="4">
        <v>70</v>
      </c>
    </row>
    <row r="293" spans="1:17" x14ac:dyDescent="0.25">
      <c r="A293" t="s">
        <v>114</v>
      </c>
      <c r="B293" s="1">
        <v>1394</v>
      </c>
      <c r="C293" t="s">
        <v>250</v>
      </c>
      <c r="D293" s="1" t="s">
        <v>20</v>
      </c>
      <c r="E293" s="1">
        <v>0</v>
      </c>
      <c r="F293" s="1">
        <v>0</v>
      </c>
      <c r="G293" s="1">
        <v>0</v>
      </c>
      <c r="H293" s="4">
        <v>0</v>
      </c>
      <c r="J293" t="str">
        <f>"0000000480"</f>
        <v>0000000480</v>
      </c>
      <c r="K293" t="str">
        <f>"0000001394"</f>
        <v>0000001394</v>
      </c>
      <c r="L293" t="s">
        <v>250</v>
      </c>
      <c r="M293" t="s">
        <v>20</v>
      </c>
      <c r="N293" s="1">
        <v>0</v>
      </c>
      <c r="O293" s="1">
        <v>0</v>
      </c>
      <c r="P293" s="1">
        <v>0</v>
      </c>
      <c r="Q293" s="4">
        <v>0</v>
      </c>
    </row>
    <row r="294" spans="1:17" x14ac:dyDescent="0.25">
      <c r="A294" t="s">
        <v>8</v>
      </c>
      <c r="B294" s="1">
        <v>276</v>
      </c>
      <c r="C294" t="s">
        <v>590</v>
      </c>
      <c r="D294" s="1" t="s">
        <v>16</v>
      </c>
      <c r="E294" s="1">
        <v>0</v>
      </c>
      <c r="F294" s="1">
        <v>0</v>
      </c>
      <c r="G294" s="1">
        <v>0</v>
      </c>
      <c r="H294" s="4">
        <v>0</v>
      </c>
      <c r="J294" t="str">
        <f>"0000000459"</f>
        <v>0000000459</v>
      </c>
      <c r="K294" t="str">
        <f>"276"</f>
        <v>276</v>
      </c>
      <c r="L294" t="s">
        <v>590</v>
      </c>
      <c r="M294" t="s">
        <v>16</v>
      </c>
      <c r="N294" s="1">
        <v>0</v>
      </c>
      <c r="O294" s="1">
        <v>0</v>
      </c>
      <c r="P294" s="1">
        <v>0</v>
      </c>
      <c r="Q294" s="4">
        <v>0</v>
      </c>
    </row>
    <row r="295" spans="1:17" x14ac:dyDescent="0.25">
      <c r="A295" t="s">
        <v>114</v>
      </c>
      <c r="B295" s="1">
        <v>1323</v>
      </c>
      <c r="C295" t="s">
        <v>444</v>
      </c>
      <c r="D295" s="1" t="s">
        <v>20</v>
      </c>
      <c r="E295" s="1">
        <v>2</v>
      </c>
      <c r="F295" s="1">
        <v>0</v>
      </c>
      <c r="G295" s="1">
        <v>0</v>
      </c>
      <c r="H295" s="4">
        <v>2</v>
      </c>
      <c r="J295" t="str">
        <f>"0000000457"</f>
        <v>0000000457</v>
      </c>
      <c r="K295" t="str">
        <f>"0000001323"</f>
        <v>0000001323</v>
      </c>
      <c r="L295" t="s">
        <v>444</v>
      </c>
      <c r="M295" t="s">
        <v>20</v>
      </c>
      <c r="N295" s="1">
        <v>2</v>
      </c>
      <c r="O295" s="1">
        <v>0</v>
      </c>
      <c r="P295" s="1">
        <v>0</v>
      </c>
      <c r="Q295" s="4">
        <v>2</v>
      </c>
    </row>
    <row r="296" spans="1:17" x14ac:dyDescent="0.25">
      <c r="A296" t="s">
        <v>8</v>
      </c>
      <c r="B296" s="1">
        <v>426</v>
      </c>
      <c r="C296" t="s">
        <v>222</v>
      </c>
      <c r="D296" s="1" t="s">
        <v>16</v>
      </c>
      <c r="E296" s="1">
        <v>46</v>
      </c>
      <c r="F296" s="1">
        <v>0</v>
      </c>
      <c r="G296" s="1">
        <v>0</v>
      </c>
      <c r="H296" s="4">
        <v>46</v>
      </c>
      <c r="J296" t="str">
        <f>"0000000696"</f>
        <v>0000000696</v>
      </c>
      <c r="K296" t="str">
        <f>"426"</f>
        <v>426</v>
      </c>
      <c r="L296" t="s">
        <v>222</v>
      </c>
      <c r="M296" t="s">
        <v>16</v>
      </c>
      <c r="N296" s="1">
        <v>46</v>
      </c>
      <c r="O296" s="1">
        <v>0</v>
      </c>
      <c r="P296" s="1">
        <v>0</v>
      </c>
      <c r="Q296" s="4">
        <v>46</v>
      </c>
    </row>
    <row r="297" spans="1:17" x14ac:dyDescent="0.25">
      <c r="A297" t="s">
        <v>8</v>
      </c>
      <c r="B297" s="1">
        <v>623</v>
      </c>
      <c r="C297" t="s">
        <v>378</v>
      </c>
      <c r="D297" s="1" t="s">
        <v>12</v>
      </c>
      <c r="E297" s="1">
        <v>0</v>
      </c>
      <c r="F297" s="1">
        <v>0</v>
      </c>
      <c r="G297" s="1">
        <v>0</v>
      </c>
      <c r="H297" s="4">
        <v>0</v>
      </c>
      <c r="J297" t="str">
        <f>"0000000522"</f>
        <v>0000000522</v>
      </c>
      <c r="K297" t="str">
        <f>"623"</f>
        <v>623</v>
      </c>
      <c r="L297" t="s">
        <v>378</v>
      </c>
      <c r="M297" t="s">
        <v>12</v>
      </c>
      <c r="N297" s="1">
        <v>0</v>
      </c>
      <c r="O297" s="1">
        <v>0</v>
      </c>
      <c r="P297" s="1">
        <v>0</v>
      </c>
      <c r="Q297" s="4">
        <v>0</v>
      </c>
    </row>
    <row r="298" spans="1:17" x14ac:dyDescent="0.25">
      <c r="A298" t="s">
        <v>8</v>
      </c>
      <c r="B298" s="1">
        <v>138</v>
      </c>
      <c r="C298" t="s">
        <v>380</v>
      </c>
      <c r="D298" s="1" t="s">
        <v>51</v>
      </c>
      <c r="E298" s="1">
        <v>0</v>
      </c>
      <c r="F298" s="1">
        <v>0</v>
      </c>
      <c r="G298" s="1">
        <v>0</v>
      </c>
      <c r="H298" s="4">
        <v>0</v>
      </c>
      <c r="J298" t="str">
        <f>"0000000454"</f>
        <v>0000000454</v>
      </c>
      <c r="K298" t="str">
        <f>"138"</f>
        <v>138</v>
      </c>
      <c r="L298" t="s">
        <v>380</v>
      </c>
      <c r="M298" t="s">
        <v>51</v>
      </c>
      <c r="N298" s="1">
        <v>0</v>
      </c>
      <c r="O298" s="1">
        <v>0</v>
      </c>
      <c r="P298" s="1">
        <v>0</v>
      </c>
      <c r="Q298" s="4">
        <v>0</v>
      </c>
    </row>
    <row r="299" spans="1:17" x14ac:dyDescent="0.25">
      <c r="A299" t="s">
        <v>62</v>
      </c>
      <c r="B299" s="1">
        <v>576</v>
      </c>
      <c r="C299" t="s">
        <v>559</v>
      </c>
      <c r="D299" s="1" t="s">
        <v>51</v>
      </c>
      <c r="E299" s="1">
        <v>0</v>
      </c>
      <c r="F299" s="1">
        <v>0</v>
      </c>
      <c r="G299" s="1">
        <v>0</v>
      </c>
      <c r="H299" s="4">
        <v>0</v>
      </c>
      <c r="J299" t="str">
        <f>"0000000695"</f>
        <v>0000000695</v>
      </c>
      <c r="K299" t="str">
        <f>"576"</f>
        <v>576</v>
      </c>
      <c r="L299" t="s">
        <v>559</v>
      </c>
      <c r="M299" t="s">
        <v>51</v>
      </c>
      <c r="N299" s="1">
        <v>0</v>
      </c>
      <c r="O299" s="1">
        <v>0</v>
      </c>
      <c r="P299" s="1">
        <v>0</v>
      </c>
      <c r="Q299" s="4">
        <v>0</v>
      </c>
    </row>
    <row r="300" spans="1:17" x14ac:dyDescent="0.25">
      <c r="A300" t="s">
        <v>58</v>
      </c>
      <c r="B300" s="1">
        <v>624</v>
      </c>
      <c r="C300" t="s">
        <v>558</v>
      </c>
      <c r="D300" s="1" t="s">
        <v>64</v>
      </c>
      <c r="E300" s="1">
        <v>0</v>
      </c>
      <c r="F300" s="1">
        <v>0</v>
      </c>
      <c r="G300" s="1">
        <v>0</v>
      </c>
      <c r="H300" s="4">
        <v>0</v>
      </c>
      <c r="J300" t="str">
        <f>"0000000455"</f>
        <v>0000000455</v>
      </c>
      <c r="K300" t="str">
        <f>"624"</f>
        <v>624</v>
      </c>
      <c r="L300" t="s">
        <v>558</v>
      </c>
      <c r="M300" t="s">
        <v>64</v>
      </c>
      <c r="N300" s="1">
        <v>0</v>
      </c>
      <c r="O300" s="1">
        <v>0</v>
      </c>
      <c r="P300" s="1">
        <v>0</v>
      </c>
      <c r="Q300" s="4">
        <v>0</v>
      </c>
    </row>
    <row r="301" spans="1:17" x14ac:dyDescent="0.25">
      <c r="A301" t="s">
        <v>58</v>
      </c>
      <c r="B301" s="1" t="s">
        <v>483</v>
      </c>
      <c r="C301" t="s">
        <v>484</v>
      </c>
      <c r="D301" s="1" t="s">
        <v>12</v>
      </c>
      <c r="E301" s="1">
        <v>0</v>
      </c>
      <c r="F301" s="1">
        <v>0</v>
      </c>
      <c r="G301" s="1">
        <v>0</v>
      </c>
      <c r="H301" s="4">
        <v>0</v>
      </c>
      <c r="J301" t="str">
        <f>"0000000697"</f>
        <v>0000000697</v>
      </c>
      <c r="K301" t="str">
        <f>"MYLORA263"</f>
        <v>MYLORA263</v>
      </c>
      <c r="L301" t="s">
        <v>484</v>
      </c>
      <c r="M301" t="s">
        <v>12</v>
      </c>
      <c r="N301" s="1">
        <v>0</v>
      </c>
      <c r="O301" s="1">
        <v>0</v>
      </c>
      <c r="P301" s="1">
        <v>0</v>
      </c>
      <c r="Q301" s="4">
        <v>0</v>
      </c>
    </row>
    <row r="302" spans="1:17" x14ac:dyDescent="0.25">
      <c r="A302" t="s">
        <v>62</v>
      </c>
      <c r="B302" s="1">
        <v>107</v>
      </c>
      <c r="C302" t="s">
        <v>468</v>
      </c>
      <c r="D302" s="1" t="s">
        <v>51</v>
      </c>
      <c r="E302" s="1">
        <v>0</v>
      </c>
      <c r="F302" s="1">
        <v>0</v>
      </c>
      <c r="G302" s="1">
        <v>0</v>
      </c>
      <c r="H302" s="4">
        <v>0</v>
      </c>
      <c r="J302" t="str">
        <f>"0000000462"</f>
        <v>0000000462</v>
      </c>
      <c r="K302" t="str">
        <f>"107"</f>
        <v>107</v>
      </c>
      <c r="L302" t="s">
        <v>468</v>
      </c>
      <c r="M302" t="s">
        <v>51</v>
      </c>
      <c r="N302" s="1">
        <v>0</v>
      </c>
      <c r="O302" s="1">
        <v>0</v>
      </c>
      <c r="P302" s="1">
        <v>0</v>
      </c>
      <c r="Q302" s="4">
        <v>0</v>
      </c>
    </row>
    <row r="303" spans="1:17" x14ac:dyDescent="0.25">
      <c r="A303" t="s">
        <v>62</v>
      </c>
      <c r="B303" s="1">
        <v>632</v>
      </c>
      <c r="C303" t="s">
        <v>63</v>
      </c>
      <c r="D303" s="1" t="s">
        <v>64</v>
      </c>
      <c r="E303" s="1">
        <v>0</v>
      </c>
      <c r="F303" s="1">
        <v>0</v>
      </c>
      <c r="G303" s="1">
        <v>0</v>
      </c>
      <c r="H303" s="4">
        <v>0</v>
      </c>
      <c r="J303" t="str">
        <f>"0000000300"</f>
        <v>0000000300</v>
      </c>
      <c r="K303" t="str">
        <f>"632"</f>
        <v>632</v>
      </c>
      <c r="L303" t="s">
        <v>63</v>
      </c>
      <c r="M303" t="s">
        <v>64</v>
      </c>
      <c r="N303" s="1">
        <v>0</v>
      </c>
      <c r="O303" s="1">
        <v>0</v>
      </c>
      <c r="P303" s="1">
        <v>0</v>
      </c>
      <c r="Q303" s="4">
        <v>0</v>
      </c>
    </row>
    <row r="304" spans="1:17" x14ac:dyDescent="0.25">
      <c r="A304" t="s">
        <v>58</v>
      </c>
      <c r="B304" s="1">
        <v>103</v>
      </c>
      <c r="C304" t="s">
        <v>59</v>
      </c>
      <c r="D304" s="1" t="s">
        <v>51</v>
      </c>
      <c r="E304" s="1">
        <v>0</v>
      </c>
      <c r="F304" s="1">
        <v>0</v>
      </c>
      <c r="G304" s="1">
        <v>0</v>
      </c>
      <c r="H304" s="4">
        <v>0</v>
      </c>
      <c r="J304" t="str">
        <f>"0000000767"</f>
        <v>0000000767</v>
      </c>
      <c r="K304" t="str">
        <f>"103"</f>
        <v>103</v>
      </c>
      <c r="L304" t="s">
        <v>59</v>
      </c>
      <c r="M304" t="s">
        <v>51</v>
      </c>
      <c r="N304" s="1">
        <v>0</v>
      </c>
      <c r="O304" s="1">
        <v>0</v>
      </c>
      <c r="P304" s="1">
        <v>0</v>
      </c>
      <c r="Q304" s="4">
        <v>0</v>
      </c>
    </row>
    <row r="305" spans="1:17" x14ac:dyDescent="0.25">
      <c r="A305" t="s">
        <v>62</v>
      </c>
      <c r="B305" s="1">
        <v>807</v>
      </c>
      <c r="C305" t="s">
        <v>379</v>
      </c>
      <c r="D305" s="1" t="s">
        <v>64</v>
      </c>
      <c r="E305" s="1">
        <v>0</v>
      </c>
      <c r="F305" s="1">
        <v>0</v>
      </c>
      <c r="G305" s="1">
        <v>0</v>
      </c>
      <c r="H305" s="4">
        <v>0</v>
      </c>
      <c r="J305" t="str">
        <f>"0000000246"</f>
        <v>0000000246</v>
      </c>
      <c r="K305" t="str">
        <f>"807"</f>
        <v>807</v>
      </c>
      <c r="L305" t="s">
        <v>379</v>
      </c>
      <c r="M305" t="s">
        <v>64</v>
      </c>
      <c r="N305" s="1">
        <v>0</v>
      </c>
      <c r="O305" s="1">
        <v>0</v>
      </c>
      <c r="P305" s="1">
        <v>0</v>
      </c>
      <c r="Q305" s="4">
        <v>0</v>
      </c>
    </row>
    <row r="306" spans="1:17" x14ac:dyDescent="0.25">
      <c r="A306" t="s">
        <v>58</v>
      </c>
      <c r="B306" s="1" t="s">
        <v>414</v>
      </c>
      <c r="C306" t="s">
        <v>415</v>
      </c>
      <c r="D306" s="1" t="s">
        <v>51</v>
      </c>
      <c r="E306" s="1">
        <v>0</v>
      </c>
      <c r="F306" s="1">
        <v>0</v>
      </c>
      <c r="G306" s="1">
        <v>0</v>
      </c>
      <c r="H306" s="4">
        <v>0</v>
      </c>
      <c r="J306" t="str">
        <f>"0000000247"</f>
        <v>0000000247</v>
      </c>
      <c r="K306" t="str">
        <f>"MYLORA199"</f>
        <v>MYLORA199</v>
      </c>
      <c r="L306" t="s">
        <v>415</v>
      </c>
      <c r="M306" t="s">
        <v>51</v>
      </c>
      <c r="N306" s="1">
        <v>0</v>
      </c>
      <c r="O306" s="1">
        <v>0</v>
      </c>
      <c r="P306" s="1">
        <v>0</v>
      </c>
      <c r="Q306" s="4">
        <v>0</v>
      </c>
    </row>
    <row r="307" spans="1:17" x14ac:dyDescent="0.25">
      <c r="A307" t="s">
        <v>62</v>
      </c>
      <c r="B307" s="1" t="s">
        <v>198</v>
      </c>
      <c r="C307" t="s">
        <v>199</v>
      </c>
      <c r="D307" s="1" t="s">
        <v>20</v>
      </c>
      <c r="E307" s="1">
        <v>6</v>
      </c>
      <c r="F307" s="1">
        <v>0</v>
      </c>
      <c r="G307" s="1">
        <v>0</v>
      </c>
      <c r="H307" s="8">
        <v>6</v>
      </c>
      <c r="J307" t="str">
        <f>"0000000041"</f>
        <v>0000000041</v>
      </c>
      <c r="K307" t="str">
        <f>"MYLORA160"</f>
        <v>MYLORA160</v>
      </c>
      <c r="L307" t="s">
        <v>199</v>
      </c>
      <c r="M307" t="s">
        <v>20</v>
      </c>
      <c r="N307" s="1">
        <v>2</v>
      </c>
      <c r="O307" s="1">
        <v>0</v>
      </c>
      <c r="P307" s="1">
        <v>0</v>
      </c>
      <c r="Q307" s="8">
        <v>2</v>
      </c>
    </row>
    <row r="308" spans="1:17" x14ac:dyDescent="0.25">
      <c r="A308" t="s">
        <v>58</v>
      </c>
      <c r="B308" s="1">
        <v>1579</v>
      </c>
      <c r="C308" t="s">
        <v>540</v>
      </c>
      <c r="D308" s="1" t="s">
        <v>16</v>
      </c>
      <c r="E308" s="1">
        <v>11</v>
      </c>
      <c r="F308" s="1">
        <v>0</v>
      </c>
      <c r="G308" s="1">
        <v>0</v>
      </c>
      <c r="H308" s="4">
        <v>11</v>
      </c>
      <c r="J308" t="str">
        <f>"0000000583"</f>
        <v>0000000583</v>
      </c>
      <c r="K308" t="str">
        <f>"0000001579"</f>
        <v>0000001579</v>
      </c>
      <c r="L308" t="s">
        <v>540</v>
      </c>
      <c r="M308" t="s">
        <v>16</v>
      </c>
      <c r="N308" s="1">
        <v>11</v>
      </c>
      <c r="O308" s="1">
        <v>0</v>
      </c>
      <c r="P308" s="1">
        <v>0</v>
      </c>
      <c r="Q308" s="4">
        <v>11</v>
      </c>
    </row>
    <row r="309" spans="1:17" x14ac:dyDescent="0.25">
      <c r="A309" t="s">
        <v>132</v>
      </c>
      <c r="B309" s="1">
        <v>532</v>
      </c>
      <c r="C309" t="s">
        <v>158</v>
      </c>
      <c r="D309" s="1" t="s">
        <v>16</v>
      </c>
      <c r="E309" s="1">
        <v>15</v>
      </c>
      <c r="F309" s="1">
        <v>0</v>
      </c>
      <c r="G309" s="1">
        <v>0</v>
      </c>
      <c r="H309" s="4">
        <v>15</v>
      </c>
      <c r="J309" t="str">
        <f>"0000000369"</f>
        <v>0000000369</v>
      </c>
      <c r="K309" t="str">
        <f>"532"</f>
        <v>532</v>
      </c>
      <c r="L309" t="s">
        <v>158</v>
      </c>
      <c r="M309" t="s">
        <v>16</v>
      </c>
      <c r="N309" s="1">
        <v>15</v>
      </c>
      <c r="O309" s="1">
        <v>0</v>
      </c>
      <c r="P309" s="1">
        <v>0</v>
      </c>
      <c r="Q309" s="4">
        <v>15</v>
      </c>
    </row>
    <row r="310" spans="1:17" x14ac:dyDescent="0.25">
      <c r="A310" t="s">
        <v>108</v>
      </c>
      <c r="B310" s="1" t="s">
        <v>183</v>
      </c>
      <c r="C310" t="s">
        <v>184</v>
      </c>
      <c r="D310" s="1" t="s">
        <v>16</v>
      </c>
      <c r="E310" s="1">
        <v>0</v>
      </c>
      <c r="F310" s="1">
        <v>0</v>
      </c>
      <c r="G310" s="1">
        <v>0</v>
      </c>
      <c r="H310" s="4">
        <v>0</v>
      </c>
      <c r="J310" t="str">
        <f>"0000000570"</f>
        <v>0000000570</v>
      </c>
      <c r="K310" t="str">
        <f>"MYLORA285"</f>
        <v>MYLORA285</v>
      </c>
      <c r="L310" t="s">
        <v>184</v>
      </c>
      <c r="M310" t="s">
        <v>16</v>
      </c>
      <c r="N310" s="1">
        <v>0</v>
      </c>
      <c r="O310" s="1">
        <v>0</v>
      </c>
      <c r="P310" s="1">
        <v>0</v>
      </c>
      <c r="Q310" s="4">
        <v>0</v>
      </c>
    </row>
    <row r="311" spans="1:17" x14ac:dyDescent="0.25">
      <c r="A311" t="s">
        <v>8</v>
      </c>
      <c r="B311" s="1">
        <v>9</v>
      </c>
      <c r="C311" t="s">
        <v>312</v>
      </c>
      <c r="D311" s="1" t="s">
        <v>16</v>
      </c>
      <c r="E311" s="1">
        <v>48</v>
      </c>
      <c r="F311" s="1">
        <v>0</v>
      </c>
      <c r="G311" s="1">
        <v>0</v>
      </c>
      <c r="H311" s="4">
        <v>48</v>
      </c>
      <c r="J311" t="str">
        <f>"0000000372"</f>
        <v>0000000372</v>
      </c>
      <c r="K311" t="str">
        <f>"000009"</f>
        <v>000009</v>
      </c>
      <c r="L311" t="s">
        <v>312</v>
      </c>
      <c r="M311" t="s">
        <v>16</v>
      </c>
      <c r="N311" s="1">
        <v>48</v>
      </c>
      <c r="O311" s="1">
        <v>0</v>
      </c>
      <c r="P311" s="1">
        <v>0</v>
      </c>
      <c r="Q311" s="4">
        <v>48</v>
      </c>
    </row>
    <row r="312" spans="1:17" x14ac:dyDescent="0.25">
      <c r="A312" t="s">
        <v>8</v>
      </c>
      <c r="B312" s="1" t="s">
        <v>277</v>
      </c>
      <c r="C312" t="s">
        <v>278</v>
      </c>
      <c r="D312" s="1" t="s">
        <v>12</v>
      </c>
      <c r="E312" s="1">
        <v>0</v>
      </c>
      <c r="F312" s="1">
        <v>0</v>
      </c>
      <c r="G312" s="1">
        <v>0</v>
      </c>
      <c r="H312" s="4">
        <v>0</v>
      </c>
      <c r="J312" t="str">
        <f>"0000000290"</f>
        <v>0000000290</v>
      </c>
      <c r="K312" t="str">
        <f>"MYLORA162"</f>
        <v>MYLORA162</v>
      </c>
      <c r="L312" t="s">
        <v>278</v>
      </c>
      <c r="M312" t="s">
        <v>12</v>
      </c>
      <c r="N312" s="1">
        <v>0</v>
      </c>
      <c r="O312" s="1">
        <v>0</v>
      </c>
      <c r="P312" s="1">
        <v>0</v>
      </c>
      <c r="Q312" s="4">
        <v>0</v>
      </c>
    </row>
    <row r="313" spans="1:17" x14ac:dyDescent="0.25">
      <c r="A313" t="s">
        <v>8</v>
      </c>
      <c r="B313" s="1" t="s">
        <v>150</v>
      </c>
      <c r="C313" t="s">
        <v>151</v>
      </c>
      <c r="D313" s="1" t="s">
        <v>10</v>
      </c>
      <c r="E313" s="1">
        <v>0</v>
      </c>
      <c r="F313" s="1">
        <v>0</v>
      </c>
      <c r="G313" s="1">
        <v>0</v>
      </c>
      <c r="H313" s="8">
        <v>0</v>
      </c>
      <c r="J313" t="str">
        <f>"0000000310"</f>
        <v>0000000310</v>
      </c>
      <c r="K313" t="str">
        <f>"MYLORA163"</f>
        <v>MYLORA163</v>
      </c>
      <c r="L313" t="s">
        <v>151</v>
      </c>
      <c r="M313" t="s">
        <v>10</v>
      </c>
      <c r="N313" s="1">
        <v>1</v>
      </c>
      <c r="O313" s="1">
        <v>0</v>
      </c>
      <c r="P313" s="1">
        <v>0</v>
      </c>
      <c r="Q313" s="8">
        <v>1</v>
      </c>
    </row>
    <row r="314" spans="1:17" x14ac:dyDescent="0.25">
      <c r="A314" t="s">
        <v>8</v>
      </c>
      <c r="B314" s="1" t="s">
        <v>95</v>
      </c>
      <c r="C314" t="s">
        <v>96</v>
      </c>
      <c r="D314" s="1" t="s">
        <v>12</v>
      </c>
      <c r="E314" s="1">
        <v>0</v>
      </c>
      <c r="F314" s="1">
        <v>0</v>
      </c>
      <c r="G314" s="1">
        <v>0</v>
      </c>
      <c r="H314" s="4">
        <v>0</v>
      </c>
      <c r="J314" t="str">
        <f>"0000000154"</f>
        <v>0000000154</v>
      </c>
      <c r="K314" t="str">
        <f>"MYLORA164"</f>
        <v>MYLORA164</v>
      </c>
      <c r="L314" t="s">
        <v>96</v>
      </c>
      <c r="M314" t="s">
        <v>12</v>
      </c>
      <c r="N314" s="1">
        <v>0</v>
      </c>
      <c r="O314" s="1">
        <v>0</v>
      </c>
      <c r="P314" s="1">
        <v>0</v>
      </c>
      <c r="Q314" s="4">
        <v>0</v>
      </c>
    </row>
    <row r="315" spans="1:17" x14ac:dyDescent="0.25">
      <c r="A315" t="s">
        <v>8</v>
      </c>
      <c r="B315" s="1" t="s">
        <v>164</v>
      </c>
      <c r="C315" t="s">
        <v>165</v>
      </c>
      <c r="D315" s="1" t="s">
        <v>10</v>
      </c>
      <c r="E315" s="1">
        <v>0.25</v>
      </c>
      <c r="F315" s="1">
        <v>0</v>
      </c>
      <c r="G315" s="1">
        <v>0</v>
      </c>
      <c r="H315" s="4">
        <v>0.25</v>
      </c>
      <c r="J315" t="str">
        <f>"0000000153"</f>
        <v>0000000153</v>
      </c>
      <c r="K315" t="str">
        <f>"MYLORA165"</f>
        <v>MYLORA165</v>
      </c>
      <c r="L315" t="s">
        <v>165</v>
      </c>
      <c r="M315" t="s">
        <v>10</v>
      </c>
      <c r="N315" s="1">
        <v>0.25</v>
      </c>
      <c r="O315" s="1">
        <v>0</v>
      </c>
      <c r="P315" s="1">
        <v>0</v>
      </c>
      <c r="Q315" s="4">
        <v>0.25</v>
      </c>
    </row>
    <row r="316" spans="1:17" x14ac:dyDescent="0.25">
      <c r="A316" t="s">
        <v>94</v>
      </c>
      <c r="B316" s="1" t="s">
        <v>536</v>
      </c>
      <c r="C316" t="s">
        <v>537</v>
      </c>
      <c r="D316" s="1" t="s">
        <v>20</v>
      </c>
      <c r="E316" s="1">
        <v>0</v>
      </c>
      <c r="F316" s="1">
        <v>0</v>
      </c>
      <c r="G316" s="1">
        <v>0</v>
      </c>
      <c r="H316" s="4">
        <v>0</v>
      </c>
      <c r="J316" t="str">
        <f>"0000000690"</f>
        <v>0000000690</v>
      </c>
      <c r="K316" t="str">
        <f>"MYLORA167"</f>
        <v>MYLORA167</v>
      </c>
      <c r="L316" t="s">
        <v>537</v>
      </c>
      <c r="M316" t="s">
        <v>20</v>
      </c>
      <c r="N316" s="1">
        <v>0</v>
      </c>
      <c r="O316" s="1">
        <v>0</v>
      </c>
      <c r="P316" s="1">
        <v>0</v>
      </c>
      <c r="Q316" s="4">
        <v>0</v>
      </c>
    </row>
    <row r="317" spans="1:17" x14ac:dyDescent="0.25">
      <c r="A317" t="s">
        <v>8</v>
      </c>
      <c r="B317" s="1" t="s">
        <v>252</v>
      </c>
      <c r="C317" t="s">
        <v>253</v>
      </c>
      <c r="D317" s="1" t="s">
        <v>20</v>
      </c>
      <c r="E317" s="1">
        <v>0</v>
      </c>
      <c r="F317" s="1">
        <v>0</v>
      </c>
      <c r="G317" s="1">
        <v>0</v>
      </c>
      <c r="H317" s="4">
        <v>0</v>
      </c>
      <c r="J317" t="str">
        <f>"0000000758"</f>
        <v>0000000758</v>
      </c>
      <c r="K317" t="str">
        <f>"MYLORA168"</f>
        <v>MYLORA168</v>
      </c>
      <c r="L317" t="s">
        <v>253</v>
      </c>
      <c r="M317" t="s">
        <v>20</v>
      </c>
      <c r="N317" s="1">
        <v>0</v>
      </c>
      <c r="O317" s="1">
        <v>0</v>
      </c>
      <c r="P317" s="1">
        <v>0</v>
      </c>
      <c r="Q317" s="4">
        <v>0</v>
      </c>
    </row>
    <row r="318" spans="1:17" x14ac:dyDescent="0.25">
      <c r="A318" t="s">
        <v>8</v>
      </c>
      <c r="B318" s="1" t="s">
        <v>575</v>
      </c>
      <c r="C318" t="s">
        <v>576</v>
      </c>
      <c r="D318" s="1" t="s">
        <v>16</v>
      </c>
      <c r="E318" s="1">
        <v>0</v>
      </c>
      <c r="F318" s="1">
        <v>0</v>
      </c>
      <c r="G318" s="1">
        <v>0</v>
      </c>
      <c r="H318" s="4">
        <v>0</v>
      </c>
      <c r="J318" t="str">
        <f>"0000000117"</f>
        <v>0000000117</v>
      </c>
      <c r="K318" t="str">
        <f>"MYLORA169"</f>
        <v>MYLORA169</v>
      </c>
      <c r="L318" t="s">
        <v>576</v>
      </c>
      <c r="M318" t="s">
        <v>16</v>
      </c>
      <c r="N318" s="1">
        <v>0</v>
      </c>
      <c r="O318" s="1">
        <v>0</v>
      </c>
      <c r="P318" s="1">
        <v>0</v>
      </c>
      <c r="Q318" s="4">
        <v>0</v>
      </c>
    </row>
    <row r="319" spans="1:17" x14ac:dyDescent="0.25">
      <c r="A319" t="s">
        <v>251</v>
      </c>
      <c r="B319" s="1" t="s">
        <v>376</v>
      </c>
      <c r="C319" t="s">
        <v>377</v>
      </c>
      <c r="D319" s="1" t="s">
        <v>16</v>
      </c>
      <c r="E319" s="1">
        <v>0</v>
      </c>
      <c r="F319" s="1">
        <v>0</v>
      </c>
      <c r="G319" s="1">
        <v>0</v>
      </c>
      <c r="H319" s="4">
        <v>0</v>
      </c>
      <c r="J319" t="str">
        <f>"0000000781"</f>
        <v>0000000781</v>
      </c>
      <c r="K319" t="str">
        <f>"MYLORA171"</f>
        <v>MYLORA171</v>
      </c>
      <c r="L319" t="s">
        <v>377</v>
      </c>
      <c r="M319" t="s">
        <v>16</v>
      </c>
      <c r="N319" s="1">
        <v>0</v>
      </c>
      <c r="O319" s="1">
        <v>0</v>
      </c>
      <c r="P319" s="1">
        <v>0</v>
      </c>
      <c r="Q319" s="4">
        <v>0</v>
      </c>
    </row>
    <row r="320" spans="1:17" x14ac:dyDescent="0.25">
      <c r="A320" t="s">
        <v>8</v>
      </c>
      <c r="B320" s="1">
        <v>550</v>
      </c>
      <c r="C320" t="s">
        <v>445</v>
      </c>
      <c r="D320" s="1" t="s">
        <v>39</v>
      </c>
      <c r="E320" s="1">
        <v>6</v>
      </c>
      <c r="F320" s="1">
        <v>0</v>
      </c>
      <c r="G320" s="1">
        <v>0</v>
      </c>
      <c r="H320" s="4">
        <v>6</v>
      </c>
      <c r="J320" t="str">
        <f>"0000000031"</f>
        <v>0000000031</v>
      </c>
      <c r="K320" t="str">
        <f>"550"</f>
        <v>550</v>
      </c>
      <c r="L320" t="s">
        <v>445</v>
      </c>
      <c r="M320" t="s">
        <v>39</v>
      </c>
      <c r="N320" s="1">
        <v>6</v>
      </c>
      <c r="O320" s="1">
        <v>0</v>
      </c>
      <c r="P320" s="1">
        <v>0</v>
      </c>
      <c r="Q320" s="4">
        <v>6</v>
      </c>
    </row>
    <row r="321" spans="1:17" x14ac:dyDescent="0.25">
      <c r="A321" t="s">
        <v>375</v>
      </c>
      <c r="B321" s="1">
        <v>1317</v>
      </c>
      <c r="C321" t="s">
        <v>566</v>
      </c>
      <c r="D321" s="1" t="s">
        <v>20</v>
      </c>
      <c r="E321" s="1">
        <v>2</v>
      </c>
      <c r="F321" s="1">
        <v>0</v>
      </c>
      <c r="G321" s="1">
        <v>0</v>
      </c>
      <c r="H321" s="4">
        <v>2</v>
      </c>
      <c r="J321" t="str">
        <f>"0000000614"</f>
        <v>0000000614</v>
      </c>
      <c r="K321" t="str">
        <f>"0000001317"</f>
        <v>0000001317</v>
      </c>
      <c r="L321" t="s">
        <v>599</v>
      </c>
      <c r="M321" t="s">
        <v>20</v>
      </c>
      <c r="N321" s="1">
        <v>2</v>
      </c>
      <c r="O321" s="1">
        <v>0</v>
      </c>
      <c r="P321" s="1">
        <v>0</v>
      </c>
      <c r="Q321" s="4">
        <v>2</v>
      </c>
    </row>
    <row r="322" spans="1:17" x14ac:dyDescent="0.25">
      <c r="A322" t="s">
        <v>8</v>
      </c>
      <c r="B322" s="1">
        <v>277</v>
      </c>
      <c r="C322" t="s">
        <v>77</v>
      </c>
      <c r="D322" s="1" t="s">
        <v>16</v>
      </c>
      <c r="E322" s="1">
        <v>100</v>
      </c>
      <c r="F322" s="1">
        <v>0</v>
      </c>
      <c r="G322" s="1">
        <v>0</v>
      </c>
      <c r="H322" s="4">
        <v>100</v>
      </c>
      <c r="J322" t="str">
        <f>"0000000636"</f>
        <v>0000000636</v>
      </c>
      <c r="K322" t="str">
        <f>"000277"</f>
        <v>000277</v>
      </c>
      <c r="L322" t="s">
        <v>77</v>
      </c>
      <c r="M322" t="s">
        <v>16</v>
      </c>
      <c r="N322" s="1">
        <v>100</v>
      </c>
      <c r="O322" s="1">
        <v>0</v>
      </c>
      <c r="P322" s="1">
        <v>0</v>
      </c>
      <c r="Q322" s="4">
        <v>100</v>
      </c>
    </row>
    <row r="323" spans="1:17" x14ac:dyDescent="0.25">
      <c r="A323" t="s">
        <v>500</v>
      </c>
      <c r="B323" s="1">
        <v>1351</v>
      </c>
      <c r="C323" t="s">
        <v>501</v>
      </c>
      <c r="D323" s="1" t="s">
        <v>20</v>
      </c>
      <c r="E323" s="1">
        <v>1</v>
      </c>
      <c r="F323" s="1">
        <v>0</v>
      </c>
      <c r="G323" s="1">
        <v>0</v>
      </c>
      <c r="H323" s="4">
        <v>1</v>
      </c>
      <c r="J323" t="str">
        <f>"0000000291"</f>
        <v>0000000291</v>
      </c>
      <c r="K323" t="str">
        <f>"0000001351"</f>
        <v>0000001351</v>
      </c>
      <c r="L323" t="s">
        <v>501</v>
      </c>
      <c r="M323" t="s">
        <v>20</v>
      </c>
      <c r="N323" s="1">
        <v>1</v>
      </c>
      <c r="O323" s="1">
        <v>0</v>
      </c>
      <c r="P323" s="1">
        <v>0</v>
      </c>
      <c r="Q323" s="4">
        <v>1</v>
      </c>
    </row>
    <row r="324" spans="1:17" x14ac:dyDescent="0.25">
      <c r="A324" t="s">
        <v>8</v>
      </c>
      <c r="B324" s="1">
        <v>240</v>
      </c>
      <c r="C324" t="s">
        <v>479</v>
      </c>
      <c r="D324" s="1" t="s">
        <v>16</v>
      </c>
      <c r="E324" s="1">
        <v>0</v>
      </c>
      <c r="F324" s="1">
        <v>0</v>
      </c>
      <c r="G324" s="1">
        <v>0</v>
      </c>
      <c r="H324" s="4">
        <v>0</v>
      </c>
      <c r="J324" t="str">
        <f>"0000000182"</f>
        <v>0000000182</v>
      </c>
      <c r="K324" t="str">
        <f>"240"</f>
        <v>240</v>
      </c>
      <c r="L324" t="s">
        <v>479</v>
      </c>
      <c r="M324" t="s">
        <v>16</v>
      </c>
      <c r="N324" s="1">
        <v>0</v>
      </c>
      <c r="O324" s="1">
        <v>0</v>
      </c>
      <c r="P324" s="1">
        <v>0</v>
      </c>
      <c r="Q324" s="4">
        <v>0</v>
      </c>
    </row>
    <row r="325" spans="1:17" x14ac:dyDescent="0.25">
      <c r="A325" t="s">
        <v>500</v>
      </c>
      <c r="B325" s="1">
        <v>4800525002130</v>
      </c>
      <c r="C325" t="s">
        <v>221</v>
      </c>
      <c r="D325" s="1" t="s">
        <v>39</v>
      </c>
      <c r="E325" s="1">
        <v>0</v>
      </c>
      <c r="F325" s="1">
        <v>0</v>
      </c>
      <c r="G325" s="1">
        <v>0</v>
      </c>
      <c r="H325" s="4">
        <v>0</v>
      </c>
      <c r="J325" t="str">
        <f>"0000000114"</f>
        <v>0000000114</v>
      </c>
      <c r="K325" t="str">
        <f>"4800525002130"</f>
        <v>4800525002130</v>
      </c>
      <c r="L325" t="s">
        <v>600</v>
      </c>
      <c r="M325" t="s">
        <v>39</v>
      </c>
      <c r="N325" s="1">
        <v>0</v>
      </c>
      <c r="O325" s="1">
        <v>0</v>
      </c>
      <c r="P325" s="1">
        <v>0</v>
      </c>
      <c r="Q325" s="4">
        <v>0</v>
      </c>
    </row>
    <row r="326" spans="1:17" x14ac:dyDescent="0.25">
      <c r="A326" t="s">
        <v>8</v>
      </c>
      <c r="B326" s="1">
        <v>4806529040048</v>
      </c>
      <c r="C326" t="s">
        <v>446</v>
      </c>
      <c r="D326" s="1" t="s">
        <v>39</v>
      </c>
      <c r="E326" s="1">
        <v>0</v>
      </c>
      <c r="F326" s="1">
        <v>0</v>
      </c>
      <c r="G326" s="1">
        <v>0</v>
      </c>
      <c r="H326" s="4">
        <v>0</v>
      </c>
      <c r="J326" t="str">
        <f>"0000000265"</f>
        <v>0000000265</v>
      </c>
      <c r="K326" t="str">
        <f>"4806529040048"</f>
        <v>4806529040048</v>
      </c>
      <c r="L326" t="s">
        <v>446</v>
      </c>
      <c r="M326" t="s">
        <v>39</v>
      </c>
      <c r="N326" s="1">
        <v>0</v>
      </c>
      <c r="O326" s="1">
        <v>0</v>
      </c>
      <c r="P326" s="1">
        <v>0</v>
      </c>
      <c r="Q326" s="4">
        <v>0</v>
      </c>
    </row>
    <row r="327" spans="1:17" x14ac:dyDescent="0.25">
      <c r="A327" t="s">
        <v>8</v>
      </c>
      <c r="B327" s="1" t="s">
        <v>531</v>
      </c>
      <c r="C327" t="s">
        <v>532</v>
      </c>
      <c r="D327" s="1" t="s">
        <v>20</v>
      </c>
      <c r="E327" s="1">
        <v>0</v>
      </c>
      <c r="F327" s="1">
        <v>0</v>
      </c>
      <c r="G327" s="1">
        <v>0</v>
      </c>
      <c r="H327" s="4">
        <v>0</v>
      </c>
      <c r="J327" t="str">
        <f>"0000000129"</f>
        <v>0000000129</v>
      </c>
      <c r="K327" t="str">
        <f>"MYLORA175"</f>
        <v>MYLORA175</v>
      </c>
      <c r="L327" t="s">
        <v>532</v>
      </c>
      <c r="M327" t="s">
        <v>20</v>
      </c>
      <c r="N327" s="1">
        <v>0</v>
      </c>
      <c r="O327" s="1">
        <v>0</v>
      </c>
      <c r="P327" s="1">
        <v>0</v>
      </c>
      <c r="Q327" s="4">
        <v>0</v>
      </c>
    </row>
    <row r="328" spans="1:17" x14ac:dyDescent="0.25">
      <c r="A328" t="s">
        <v>8</v>
      </c>
      <c r="B328" s="1">
        <v>4800371177617</v>
      </c>
      <c r="C328" t="s">
        <v>78</v>
      </c>
      <c r="D328" s="1" t="s">
        <v>16</v>
      </c>
      <c r="E328" s="1">
        <v>0</v>
      </c>
      <c r="F328" s="1">
        <v>0</v>
      </c>
      <c r="G328" s="1">
        <v>0</v>
      </c>
      <c r="H328" s="4">
        <v>0</v>
      </c>
      <c r="J328" t="str">
        <f>"0000000330"</f>
        <v>0000000330</v>
      </c>
      <c r="K328" t="str">
        <f>"4800371177617"</f>
        <v>4800371177617</v>
      </c>
      <c r="L328" t="s">
        <v>78</v>
      </c>
      <c r="M328" t="s">
        <v>16</v>
      </c>
      <c r="N328" s="1">
        <v>0</v>
      </c>
      <c r="O328" s="1">
        <v>0</v>
      </c>
      <c r="P328" s="1">
        <v>0</v>
      </c>
      <c r="Q328" s="4">
        <v>0</v>
      </c>
    </row>
    <row r="329" spans="1:17" x14ac:dyDescent="0.25">
      <c r="A329" t="s">
        <v>8</v>
      </c>
      <c r="B329" s="1">
        <v>289</v>
      </c>
      <c r="C329" t="s">
        <v>467</v>
      </c>
      <c r="D329" s="1" t="s">
        <v>16</v>
      </c>
      <c r="E329" s="1">
        <v>56</v>
      </c>
      <c r="F329" s="1">
        <v>0</v>
      </c>
      <c r="G329" s="1">
        <v>0</v>
      </c>
      <c r="H329" s="4">
        <v>56</v>
      </c>
      <c r="J329" t="str">
        <f>"0000000949"</f>
        <v>0000000949</v>
      </c>
      <c r="K329" t="str">
        <f>"000289"</f>
        <v>000289</v>
      </c>
      <c r="L329" t="s">
        <v>467</v>
      </c>
      <c r="M329" t="s">
        <v>16</v>
      </c>
      <c r="N329" s="1">
        <v>56</v>
      </c>
      <c r="O329" s="1">
        <v>0</v>
      </c>
      <c r="P329" s="1">
        <v>0</v>
      </c>
      <c r="Q329" s="4">
        <v>56</v>
      </c>
    </row>
    <row r="330" spans="1:17" x14ac:dyDescent="0.25">
      <c r="A330" t="s">
        <v>8</v>
      </c>
      <c r="B330" s="1">
        <v>690</v>
      </c>
      <c r="C330" t="s">
        <v>407</v>
      </c>
      <c r="D330" s="1" t="s">
        <v>20</v>
      </c>
      <c r="E330" s="1">
        <v>3</v>
      </c>
      <c r="F330" s="1">
        <v>0</v>
      </c>
      <c r="G330" s="1">
        <v>0</v>
      </c>
      <c r="H330" s="4">
        <v>3</v>
      </c>
      <c r="J330" t="str">
        <f>"0000000005"</f>
        <v>0000000005</v>
      </c>
      <c r="K330" t="str">
        <f>"690"</f>
        <v>690</v>
      </c>
      <c r="L330" t="s">
        <v>407</v>
      </c>
      <c r="M330" t="s">
        <v>20</v>
      </c>
      <c r="N330" s="1">
        <v>3</v>
      </c>
      <c r="O330" s="1">
        <v>0</v>
      </c>
      <c r="P330" s="1">
        <v>0</v>
      </c>
      <c r="Q330" s="4">
        <v>3</v>
      </c>
    </row>
    <row r="331" spans="1:17" x14ac:dyDescent="0.25">
      <c r="A331" t="s">
        <v>466</v>
      </c>
      <c r="B331" s="1">
        <v>742</v>
      </c>
      <c r="C331" t="s">
        <v>22</v>
      </c>
      <c r="D331" s="1" t="s">
        <v>16</v>
      </c>
      <c r="E331" s="1">
        <v>0</v>
      </c>
      <c r="F331" s="1">
        <v>0</v>
      </c>
      <c r="G331" s="1">
        <v>0</v>
      </c>
      <c r="H331" s="4">
        <v>0</v>
      </c>
      <c r="J331" t="str">
        <f>"0000000308"</f>
        <v>0000000308</v>
      </c>
      <c r="K331" t="str">
        <f>"742"</f>
        <v>742</v>
      </c>
      <c r="L331" t="s">
        <v>22</v>
      </c>
      <c r="M331" t="s">
        <v>16</v>
      </c>
      <c r="N331" s="1">
        <v>0</v>
      </c>
      <c r="O331" s="1">
        <v>0</v>
      </c>
      <c r="P331" s="1">
        <v>0</v>
      </c>
      <c r="Q331" s="4">
        <v>0</v>
      </c>
    </row>
    <row r="332" spans="1:17" x14ac:dyDescent="0.25">
      <c r="A332" t="s">
        <v>28</v>
      </c>
      <c r="B332" s="1" t="s">
        <v>447</v>
      </c>
      <c r="C332" t="s">
        <v>448</v>
      </c>
      <c r="D332" s="1" t="s">
        <v>20</v>
      </c>
      <c r="E332" s="1">
        <v>0</v>
      </c>
      <c r="F332" s="1">
        <v>0</v>
      </c>
      <c r="G332" s="1">
        <v>0</v>
      </c>
      <c r="H332" s="4">
        <v>0</v>
      </c>
      <c r="J332" t="str">
        <f>"0000000181"</f>
        <v>0000000181</v>
      </c>
      <c r="K332" t="str">
        <f>"MYLORA180"</f>
        <v>MYLORA180</v>
      </c>
      <c r="L332" t="s">
        <v>448</v>
      </c>
      <c r="M332" t="s">
        <v>20</v>
      </c>
      <c r="N332" s="1">
        <v>0</v>
      </c>
      <c r="O332" s="1">
        <v>0</v>
      </c>
      <c r="P332" s="1">
        <v>0</v>
      </c>
      <c r="Q332" s="4">
        <v>0</v>
      </c>
    </row>
    <row r="333" spans="1:17" x14ac:dyDescent="0.25">
      <c r="A333" t="s">
        <v>21</v>
      </c>
      <c r="B333" s="1">
        <v>1523</v>
      </c>
      <c r="C333" t="s">
        <v>79</v>
      </c>
      <c r="D333" s="1" t="s">
        <v>16</v>
      </c>
      <c r="E333" s="1">
        <v>33</v>
      </c>
      <c r="F333" s="1">
        <v>0</v>
      </c>
      <c r="G333" s="1">
        <v>0</v>
      </c>
      <c r="H333" s="4">
        <v>33</v>
      </c>
      <c r="J333" t="str">
        <f>"0000000326"</f>
        <v>0000000326</v>
      </c>
      <c r="K333" t="str">
        <f>"0000001523"</f>
        <v>0000001523</v>
      </c>
      <c r="L333" t="s">
        <v>79</v>
      </c>
      <c r="M333" t="s">
        <v>16</v>
      </c>
      <c r="N333" s="1">
        <v>33</v>
      </c>
      <c r="O333" s="1">
        <v>0</v>
      </c>
      <c r="P333" s="1">
        <v>0</v>
      </c>
      <c r="Q333" s="4">
        <v>33</v>
      </c>
    </row>
    <row r="334" spans="1:17" x14ac:dyDescent="0.25">
      <c r="A334" t="s">
        <v>8</v>
      </c>
      <c r="B334" s="1">
        <v>251</v>
      </c>
      <c r="C334" t="s">
        <v>40</v>
      </c>
      <c r="D334" s="1" t="s">
        <v>16</v>
      </c>
      <c r="E334" s="1">
        <v>0</v>
      </c>
      <c r="F334" s="1">
        <v>0</v>
      </c>
      <c r="G334" s="1">
        <v>0</v>
      </c>
      <c r="H334" s="4">
        <v>0</v>
      </c>
      <c r="J334" t="str">
        <f>"0000000325"</f>
        <v>0000000325</v>
      </c>
      <c r="K334" t="str">
        <f>"251"</f>
        <v>251</v>
      </c>
      <c r="L334" t="s">
        <v>40</v>
      </c>
      <c r="M334" t="s">
        <v>16</v>
      </c>
      <c r="N334" s="1">
        <v>0</v>
      </c>
      <c r="O334" s="1">
        <v>0</v>
      </c>
      <c r="P334" s="1">
        <v>0</v>
      </c>
      <c r="Q334" s="4">
        <v>0</v>
      </c>
    </row>
    <row r="335" spans="1:17" x14ac:dyDescent="0.25">
      <c r="A335" t="s">
        <v>8</v>
      </c>
      <c r="B335" s="1">
        <v>757</v>
      </c>
      <c r="C335" t="s">
        <v>406</v>
      </c>
      <c r="D335" s="1" t="s">
        <v>20</v>
      </c>
      <c r="E335" s="1">
        <v>4</v>
      </c>
      <c r="F335" s="1">
        <v>0</v>
      </c>
      <c r="G335" s="1">
        <v>0</v>
      </c>
      <c r="H335" s="4">
        <v>4</v>
      </c>
      <c r="J335" t="str">
        <f>"0000000183"</f>
        <v>0000000183</v>
      </c>
      <c r="K335" t="str">
        <f>"757"</f>
        <v>757</v>
      </c>
      <c r="L335" t="s">
        <v>406</v>
      </c>
      <c r="M335" t="s">
        <v>20</v>
      </c>
      <c r="N335" s="1">
        <v>4</v>
      </c>
      <c r="O335" s="1">
        <v>0</v>
      </c>
      <c r="P335" s="1">
        <v>0</v>
      </c>
      <c r="Q335" s="4">
        <v>4</v>
      </c>
    </row>
    <row r="336" spans="1:17" x14ac:dyDescent="0.25">
      <c r="A336" t="s">
        <v>8</v>
      </c>
      <c r="B336" s="1">
        <v>4800371178911</v>
      </c>
      <c r="C336" t="s">
        <v>449</v>
      </c>
      <c r="D336" s="1" t="s">
        <v>16</v>
      </c>
      <c r="E336" s="1">
        <v>0</v>
      </c>
      <c r="F336" s="1">
        <v>0</v>
      </c>
      <c r="G336" s="1">
        <v>0</v>
      </c>
      <c r="H336" s="4">
        <v>0</v>
      </c>
      <c r="J336" t="str">
        <f>"0000001556"</f>
        <v>0000001556</v>
      </c>
      <c r="K336" t="str">
        <f>"4800371178911"</f>
        <v>4800371178911</v>
      </c>
      <c r="L336" t="s">
        <v>449</v>
      </c>
      <c r="M336" t="s">
        <v>16</v>
      </c>
      <c r="N336" s="1">
        <v>0</v>
      </c>
      <c r="O336" s="1">
        <v>0</v>
      </c>
      <c r="P336" s="1">
        <v>0</v>
      </c>
      <c r="Q336" s="4">
        <v>0</v>
      </c>
    </row>
    <row r="337" spans="1:17" x14ac:dyDescent="0.25">
      <c r="A337" t="s">
        <v>8</v>
      </c>
      <c r="B337" s="1" t="s">
        <v>41</v>
      </c>
      <c r="C337" t="s">
        <v>42</v>
      </c>
      <c r="D337" s="1" t="s">
        <v>20</v>
      </c>
      <c r="E337" s="1">
        <v>0</v>
      </c>
      <c r="F337" s="1">
        <v>0</v>
      </c>
      <c r="G337" s="1">
        <v>0</v>
      </c>
      <c r="H337" s="4">
        <v>0</v>
      </c>
      <c r="J337" t="str">
        <f>"0000000868"</f>
        <v>0000000868</v>
      </c>
      <c r="K337" t="str">
        <f>"MYLORA183"</f>
        <v>MYLORA183</v>
      </c>
      <c r="L337" t="s">
        <v>42</v>
      </c>
      <c r="M337" t="s">
        <v>20</v>
      </c>
      <c r="N337" s="1">
        <v>0</v>
      </c>
      <c r="O337" s="1">
        <v>0</v>
      </c>
      <c r="P337" s="1">
        <v>0</v>
      </c>
      <c r="Q337" s="4">
        <v>0</v>
      </c>
    </row>
    <row r="338" spans="1:17" x14ac:dyDescent="0.25">
      <c r="A338" t="s">
        <v>8</v>
      </c>
      <c r="B338" s="1" t="s">
        <v>80</v>
      </c>
      <c r="C338" t="s">
        <v>81</v>
      </c>
      <c r="D338" s="1" t="s">
        <v>20</v>
      </c>
      <c r="E338" s="1">
        <v>3</v>
      </c>
      <c r="F338" s="1">
        <v>0</v>
      </c>
      <c r="G338" s="1">
        <v>0</v>
      </c>
      <c r="H338" s="4">
        <v>3</v>
      </c>
      <c r="J338" t="str">
        <f>"0000000843"</f>
        <v>0000000843</v>
      </c>
      <c r="K338" t="str">
        <f>"MYLORA186"</f>
        <v>MYLORA186</v>
      </c>
      <c r="L338" t="s">
        <v>81</v>
      </c>
      <c r="M338" t="s">
        <v>20</v>
      </c>
      <c r="N338" s="1">
        <v>3</v>
      </c>
      <c r="O338" s="1">
        <v>0</v>
      </c>
      <c r="P338" s="1">
        <v>0</v>
      </c>
      <c r="Q338" s="4">
        <v>3</v>
      </c>
    </row>
    <row r="339" spans="1:17" x14ac:dyDescent="0.25">
      <c r="A339" t="s">
        <v>8</v>
      </c>
      <c r="B339" s="1">
        <v>4800371001257</v>
      </c>
      <c r="C339" t="s">
        <v>397</v>
      </c>
      <c r="D339" s="1" t="s">
        <v>16</v>
      </c>
      <c r="E339" s="1">
        <v>1</v>
      </c>
      <c r="F339" s="1">
        <v>0</v>
      </c>
      <c r="G339" s="1">
        <v>0</v>
      </c>
      <c r="H339" s="4">
        <v>1</v>
      </c>
      <c r="J339" t="str">
        <f>"0000000018"</f>
        <v>0000000018</v>
      </c>
      <c r="K339" t="str">
        <f>"4800371001257"</f>
        <v>4800371001257</v>
      </c>
      <c r="L339" t="s">
        <v>397</v>
      </c>
      <c r="M339" t="s">
        <v>16</v>
      </c>
      <c r="N339" s="1">
        <v>1</v>
      </c>
      <c r="O339" s="1">
        <v>0</v>
      </c>
      <c r="P339" s="1">
        <v>0</v>
      </c>
      <c r="Q339" s="4">
        <v>1</v>
      </c>
    </row>
    <row r="340" spans="1:17" x14ac:dyDescent="0.25">
      <c r="A340" t="s">
        <v>8</v>
      </c>
      <c r="B340" s="1">
        <v>2395</v>
      </c>
      <c r="C340" t="s">
        <v>506</v>
      </c>
      <c r="D340" s="1" t="s">
        <v>16</v>
      </c>
      <c r="E340" s="1">
        <v>50</v>
      </c>
      <c r="F340" s="1">
        <v>0</v>
      </c>
      <c r="G340" s="1">
        <v>0</v>
      </c>
      <c r="H340" s="4">
        <v>50</v>
      </c>
      <c r="J340" t="str">
        <f>"0000000324"</f>
        <v>0000000324</v>
      </c>
      <c r="K340" t="str">
        <f>"0000002395"</f>
        <v>0000002395</v>
      </c>
      <c r="L340" t="s">
        <v>506</v>
      </c>
      <c r="M340" t="s">
        <v>16</v>
      </c>
      <c r="N340" s="1">
        <v>50</v>
      </c>
      <c r="O340" s="1">
        <v>0</v>
      </c>
      <c r="P340" s="1">
        <v>0</v>
      </c>
      <c r="Q340" s="4">
        <v>50</v>
      </c>
    </row>
    <row r="341" spans="1:17" x14ac:dyDescent="0.25">
      <c r="A341" t="s">
        <v>8</v>
      </c>
      <c r="B341" s="1">
        <v>1684</v>
      </c>
      <c r="C341" t="s">
        <v>526</v>
      </c>
      <c r="D341" s="1" t="s">
        <v>89</v>
      </c>
      <c r="E341" s="1">
        <v>0</v>
      </c>
      <c r="F341" s="1">
        <v>0</v>
      </c>
      <c r="G341" s="1">
        <v>0</v>
      </c>
      <c r="H341" s="4">
        <v>0</v>
      </c>
      <c r="J341" t="str">
        <f>"0000000667"</f>
        <v>0000000667</v>
      </c>
      <c r="K341" t="str">
        <f>"0000001684"</f>
        <v>0000001684</v>
      </c>
      <c r="L341" t="s">
        <v>526</v>
      </c>
      <c r="M341" t="s">
        <v>89</v>
      </c>
      <c r="N341" s="1">
        <v>0</v>
      </c>
      <c r="O341" s="1">
        <v>0</v>
      </c>
      <c r="P341" s="1">
        <v>0</v>
      </c>
      <c r="Q341" s="4">
        <v>0</v>
      </c>
    </row>
    <row r="342" spans="1:17" x14ac:dyDescent="0.25">
      <c r="A342" t="s">
        <v>505</v>
      </c>
      <c r="B342" s="1">
        <v>1656</v>
      </c>
      <c r="C342" t="s">
        <v>106</v>
      </c>
      <c r="D342" s="1" t="s">
        <v>10</v>
      </c>
      <c r="E342" s="1">
        <v>0</v>
      </c>
      <c r="F342" s="1">
        <v>0</v>
      </c>
      <c r="G342" s="1">
        <v>0</v>
      </c>
      <c r="H342" s="4">
        <v>0</v>
      </c>
      <c r="J342" t="str">
        <f>"0000000705"</f>
        <v>0000000705</v>
      </c>
      <c r="K342" t="str">
        <f>"0000001656"</f>
        <v>0000001656</v>
      </c>
      <c r="L342" t="s">
        <v>106</v>
      </c>
      <c r="M342" t="s">
        <v>10</v>
      </c>
      <c r="N342" s="1">
        <v>0</v>
      </c>
      <c r="O342" s="1">
        <v>0</v>
      </c>
      <c r="P342" s="1">
        <v>0</v>
      </c>
      <c r="Q342" s="4">
        <v>0</v>
      </c>
    </row>
    <row r="343" spans="1:17" x14ac:dyDescent="0.25">
      <c r="A343" t="s">
        <v>105</v>
      </c>
      <c r="B343" s="1">
        <v>254</v>
      </c>
      <c r="C343" t="s">
        <v>15</v>
      </c>
      <c r="D343" s="1" t="s">
        <v>16</v>
      </c>
      <c r="E343" s="1">
        <v>31</v>
      </c>
      <c r="F343" s="1">
        <v>0</v>
      </c>
      <c r="G343" s="1">
        <v>0</v>
      </c>
      <c r="H343" s="4">
        <v>31</v>
      </c>
      <c r="J343" t="str">
        <f>"0000000107"</f>
        <v>0000000107</v>
      </c>
      <c r="K343" t="str">
        <f>"254"</f>
        <v>254</v>
      </c>
      <c r="L343" t="s">
        <v>15</v>
      </c>
      <c r="M343" t="s">
        <v>16</v>
      </c>
      <c r="N343" s="1">
        <v>31</v>
      </c>
      <c r="O343" s="1">
        <v>0</v>
      </c>
      <c r="P343" s="1">
        <v>0</v>
      </c>
      <c r="Q343" s="4">
        <v>31</v>
      </c>
    </row>
    <row r="344" spans="1:17" x14ac:dyDescent="0.25">
      <c r="A344" t="s">
        <v>105</v>
      </c>
      <c r="B344" s="1" t="s">
        <v>18</v>
      </c>
      <c r="C344" t="s">
        <v>19</v>
      </c>
      <c r="D344" s="1" t="s">
        <v>20</v>
      </c>
      <c r="E344" s="1">
        <v>2</v>
      </c>
      <c r="F344" s="1">
        <v>0</v>
      </c>
      <c r="G344" s="1">
        <v>0</v>
      </c>
      <c r="H344" s="4">
        <v>2</v>
      </c>
      <c r="J344" t="str">
        <f>"0000000317"</f>
        <v>0000000317</v>
      </c>
      <c r="K344" t="str">
        <f>"MYLORA187"</f>
        <v>MYLORA187</v>
      </c>
      <c r="L344" t="s">
        <v>19</v>
      </c>
      <c r="M344" t="s">
        <v>20</v>
      </c>
      <c r="N344" s="1">
        <v>2</v>
      </c>
      <c r="O344" s="1">
        <v>0</v>
      </c>
      <c r="P344" s="1">
        <v>0</v>
      </c>
      <c r="Q344" s="4">
        <v>2</v>
      </c>
    </row>
    <row r="345" spans="1:17" x14ac:dyDescent="0.25">
      <c r="A345" t="s">
        <v>8</v>
      </c>
      <c r="B345" s="1">
        <v>905</v>
      </c>
      <c r="C345" t="s">
        <v>525</v>
      </c>
      <c r="D345" s="1" t="s">
        <v>39</v>
      </c>
      <c r="E345" s="1">
        <v>0</v>
      </c>
      <c r="F345" s="1">
        <v>0</v>
      </c>
      <c r="G345" s="1">
        <v>0</v>
      </c>
      <c r="H345" s="4">
        <v>0</v>
      </c>
      <c r="J345" t="str">
        <f>"0000000216"</f>
        <v>0000000216</v>
      </c>
      <c r="K345" t="str">
        <f>"0000000905"</f>
        <v>0000000905</v>
      </c>
      <c r="L345" t="s">
        <v>525</v>
      </c>
      <c r="M345" t="s">
        <v>39</v>
      </c>
      <c r="N345" s="1">
        <v>0</v>
      </c>
      <c r="O345" s="1">
        <v>0</v>
      </c>
      <c r="P345" s="1">
        <v>0</v>
      </c>
      <c r="Q345" s="4">
        <v>0</v>
      </c>
    </row>
    <row r="346" spans="1:17" x14ac:dyDescent="0.25">
      <c r="A346" t="s">
        <v>17</v>
      </c>
      <c r="B346" s="1">
        <v>855</v>
      </c>
      <c r="C346" t="s">
        <v>450</v>
      </c>
      <c r="D346" s="1" t="s">
        <v>451</v>
      </c>
      <c r="E346" s="1">
        <v>9</v>
      </c>
      <c r="F346" s="1">
        <v>0</v>
      </c>
      <c r="G346" s="1">
        <v>0</v>
      </c>
      <c r="H346" s="4">
        <v>9</v>
      </c>
      <c r="J346" t="str">
        <f>"0000000322"</f>
        <v>0000000322</v>
      </c>
      <c r="K346" t="str">
        <f>"855"</f>
        <v>855</v>
      </c>
      <c r="L346" t="s">
        <v>450</v>
      </c>
      <c r="M346" t="s">
        <v>451</v>
      </c>
      <c r="N346" s="1">
        <v>9</v>
      </c>
      <c r="O346" s="1">
        <v>0</v>
      </c>
      <c r="P346" s="1">
        <v>0</v>
      </c>
      <c r="Q346" s="4">
        <v>9</v>
      </c>
    </row>
    <row r="347" spans="1:17" x14ac:dyDescent="0.25">
      <c r="A347" t="s">
        <v>56</v>
      </c>
      <c r="B347" s="1">
        <v>550</v>
      </c>
      <c r="C347" t="s">
        <v>82</v>
      </c>
      <c r="D347" s="1" t="s">
        <v>16</v>
      </c>
      <c r="E347" s="1">
        <v>6</v>
      </c>
      <c r="F347" s="1">
        <v>0</v>
      </c>
      <c r="G347" s="1">
        <v>0</v>
      </c>
      <c r="H347" s="4">
        <v>6</v>
      </c>
      <c r="J347" t="str">
        <f>"0000000013"</f>
        <v>0000000013</v>
      </c>
      <c r="K347" t="str">
        <f>"000550"</f>
        <v>000550</v>
      </c>
      <c r="L347" t="s">
        <v>82</v>
      </c>
      <c r="M347" t="s">
        <v>16</v>
      </c>
      <c r="N347" s="1">
        <v>6</v>
      </c>
      <c r="O347" s="1">
        <v>0</v>
      </c>
      <c r="P347" s="1">
        <v>0</v>
      </c>
      <c r="Q347" s="4">
        <v>6</v>
      </c>
    </row>
    <row r="348" spans="1:17" x14ac:dyDescent="0.25">
      <c r="A348" t="s">
        <v>8</v>
      </c>
      <c r="B348" s="1">
        <v>8640</v>
      </c>
      <c r="C348" t="s">
        <v>403</v>
      </c>
      <c r="D348" s="1" t="s">
        <v>20</v>
      </c>
      <c r="E348" s="1">
        <v>38</v>
      </c>
      <c r="F348" s="1">
        <v>0</v>
      </c>
      <c r="G348" s="1">
        <v>0</v>
      </c>
      <c r="H348" s="8">
        <v>38</v>
      </c>
      <c r="J348" t="str">
        <f>"0000000334"</f>
        <v>0000000334</v>
      </c>
      <c r="K348" t="str">
        <f>"8640"</f>
        <v>8640</v>
      </c>
      <c r="L348" t="s">
        <v>601</v>
      </c>
      <c r="M348" t="s">
        <v>20</v>
      </c>
      <c r="N348" s="1">
        <v>35</v>
      </c>
      <c r="O348" s="1">
        <v>0</v>
      </c>
      <c r="P348" s="1">
        <v>0</v>
      </c>
      <c r="Q348" s="8">
        <v>35</v>
      </c>
    </row>
    <row r="349" spans="1:17" x14ac:dyDescent="0.25">
      <c r="A349" t="s">
        <v>8</v>
      </c>
      <c r="B349" s="1">
        <v>430</v>
      </c>
      <c r="C349" t="s">
        <v>568</v>
      </c>
      <c r="D349" s="1" t="s">
        <v>16</v>
      </c>
      <c r="E349" s="1">
        <v>92</v>
      </c>
      <c r="F349" s="1">
        <v>0</v>
      </c>
      <c r="G349" s="1">
        <v>0</v>
      </c>
      <c r="H349" s="4">
        <v>92</v>
      </c>
      <c r="J349" t="str">
        <f>"0000000316"</f>
        <v>0000000316</v>
      </c>
      <c r="K349" t="str">
        <f>"430"</f>
        <v>430</v>
      </c>
      <c r="L349" t="s">
        <v>568</v>
      </c>
      <c r="M349" t="s">
        <v>16</v>
      </c>
      <c r="N349" s="1">
        <v>92</v>
      </c>
      <c r="O349" s="1">
        <v>0</v>
      </c>
      <c r="P349" s="1">
        <v>0</v>
      </c>
      <c r="Q349" s="4">
        <v>92</v>
      </c>
    </row>
    <row r="350" spans="1:17" x14ac:dyDescent="0.25">
      <c r="A350" t="s">
        <v>8</v>
      </c>
      <c r="B350" s="1" t="s">
        <v>127</v>
      </c>
      <c r="C350" t="s">
        <v>128</v>
      </c>
      <c r="D350" s="1" t="s">
        <v>20</v>
      </c>
      <c r="E350" s="1">
        <v>2</v>
      </c>
      <c r="F350" s="1">
        <v>0</v>
      </c>
      <c r="G350" s="1">
        <v>0</v>
      </c>
      <c r="H350" s="4">
        <v>2</v>
      </c>
      <c r="J350" t="str">
        <f>"0000000194"</f>
        <v>0000000194</v>
      </c>
      <c r="K350" t="str">
        <f>"MYLORA189"</f>
        <v>MYLORA189</v>
      </c>
      <c r="L350" t="s">
        <v>602</v>
      </c>
      <c r="M350" t="s">
        <v>20</v>
      </c>
      <c r="N350" s="1">
        <v>2</v>
      </c>
      <c r="O350" s="1">
        <v>0</v>
      </c>
      <c r="P350" s="1">
        <v>0</v>
      </c>
      <c r="Q350" s="4">
        <v>2</v>
      </c>
    </row>
    <row r="351" spans="1:17" x14ac:dyDescent="0.25">
      <c r="A351" t="s">
        <v>567</v>
      </c>
      <c r="B351" s="1">
        <v>255</v>
      </c>
      <c r="C351" t="s">
        <v>31</v>
      </c>
      <c r="D351" s="1" t="s">
        <v>16</v>
      </c>
      <c r="E351" s="1">
        <v>61</v>
      </c>
      <c r="F351" s="1">
        <v>0</v>
      </c>
      <c r="G351" s="1">
        <v>0</v>
      </c>
      <c r="H351" s="4">
        <v>61</v>
      </c>
      <c r="J351" t="str">
        <f>"0000000033"</f>
        <v>0000000033</v>
      </c>
      <c r="K351" t="str">
        <f>"255"</f>
        <v>255</v>
      </c>
      <c r="L351" t="s">
        <v>31</v>
      </c>
      <c r="M351" t="s">
        <v>16</v>
      </c>
      <c r="N351" s="1">
        <v>61</v>
      </c>
      <c r="O351" s="1">
        <v>0</v>
      </c>
      <c r="P351" s="1">
        <v>0</v>
      </c>
      <c r="Q351" s="4">
        <v>61</v>
      </c>
    </row>
    <row r="352" spans="1:17" x14ac:dyDescent="0.25">
      <c r="A352" t="s">
        <v>126</v>
      </c>
      <c r="B352" s="1" t="s">
        <v>364</v>
      </c>
      <c r="C352" t="s">
        <v>365</v>
      </c>
      <c r="D352" s="1" t="s">
        <v>20</v>
      </c>
      <c r="E352" s="1">
        <v>5</v>
      </c>
      <c r="F352" s="1">
        <v>0</v>
      </c>
      <c r="G352" s="1">
        <v>0</v>
      </c>
      <c r="H352" s="8">
        <v>5</v>
      </c>
      <c r="J352" t="str">
        <f>"0000000113"</f>
        <v>0000000113</v>
      </c>
      <c r="K352" t="str">
        <f>"MYLORA190"</f>
        <v>MYLORA190</v>
      </c>
      <c r="L352" t="s">
        <v>603</v>
      </c>
      <c r="M352" t="s">
        <v>20</v>
      </c>
      <c r="N352" s="1">
        <v>4</v>
      </c>
      <c r="O352" s="1">
        <v>0</v>
      </c>
      <c r="P352" s="1">
        <v>0</v>
      </c>
      <c r="Q352" s="8">
        <v>4</v>
      </c>
    </row>
    <row r="353" spans="1:17" x14ac:dyDescent="0.25">
      <c r="A353" t="s">
        <v>8</v>
      </c>
      <c r="B353" s="1" t="s">
        <v>353</v>
      </c>
      <c r="C353" t="s">
        <v>354</v>
      </c>
      <c r="D353" s="1" t="s">
        <v>20</v>
      </c>
      <c r="E353" s="1">
        <v>8</v>
      </c>
      <c r="F353" s="1">
        <v>0</v>
      </c>
      <c r="G353" s="1">
        <v>0</v>
      </c>
      <c r="H353" s="4">
        <v>8</v>
      </c>
      <c r="J353" t="str">
        <f>"0000000190"</f>
        <v>0000000190</v>
      </c>
      <c r="K353" t="str">
        <f>"MYLORA192"</f>
        <v>MYLORA192</v>
      </c>
      <c r="L353" t="s">
        <v>354</v>
      </c>
      <c r="M353" t="s">
        <v>20</v>
      </c>
      <c r="N353" s="1">
        <v>8</v>
      </c>
      <c r="O353" s="1">
        <v>0</v>
      </c>
      <c r="P353" s="1">
        <v>0</v>
      </c>
      <c r="Q353" s="4">
        <v>8</v>
      </c>
    </row>
    <row r="354" spans="1:17" x14ac:dyDescent="0.25">
      <c r="A354" t="s">
        <v>67</v>
      </c>
      <c r="B354" s="1">
        <v>295</v>
      </c>
      <c r="C354" t="s">
        <v>280</v>
      </c>
      <c r="D354" s="1" t="s">
        <v>16</v>
      </c>
      <c r="E354" s="1">
        <v>10</v>
      </c>
      <c r="F354" s="1">
        <v>0</v>
      </c>
      <c r="G354" s="1">
        <v>0</v>
      </c>
      <c r="H354" s="4">
        <v>10</v>
      </c>
      <c r="J354" t="str">
        <f>"0000000193"</f>
        <v>0000000193</v>
      </c>
      <c r="K354" t="str">
        <f>"295"</f>
        <v>295</v>
      </c>
      <c r="L354" t="s">
        <v>280</v>
      </c>
      <c r="M354" t="s">
        <v>16</v>
      </c>
      <c r="N354" s="1">
        <v>10</v>
      </c>
      <c r="O354" s="1">
        <v>0</v>
      </c>
      <c r="P354" s="1">
        <v>0</v>
      </c>
      <c r="Q354" s="4">
        <v>10</v>
      </c>
    </row>
    <row r="355" spans="1:17" x14ac:dyDescent="0.25">
      <c r="A355" t="s">
        <v>17</v>
      </c>
      <c r="B355" s="1">
        <v>8</v>
      </c>
      <c r="C355" t="s">
        <v>174</v>
      </c>
      <c r="D355" s="1" t="s">
        <v>16</v>
      </c>
      <c r="E355" s="1">
        <v>1</v>
      </c>
      <c r="F355" s="1">
        <v>0</v>
      </c>
      <c r="G355" s="1">
        <v>0</v>
      </c>
      <c r="H355" s="4">
        <v>1</v>
      </c>
      <c r="J355" t="str">
        <f>"0000000099"</f>
        <v>0000000099</v>
      </c>
      <c r="K355" t="str">
        <f>"000008"</f>
        <v>000008</v>
      </c>
      <c r="L355" t="s">
        <v>174</v>
      </c>
      <c r="M355" t="s">
        <v>16</v>
      </c>
      <c r="N355" s="1">
        <v>1</v>
      </c>
      <c r="O355" s="1">
        <v>0</v>
      </c>
      <c r="P355" s="1">
        <v>0</v>
      </c>
      <c r="Q355" s="4">
        <v>1</v>
      </c>
    </row>
    <row r="356" spans="1:17" x14ac:dyDescent="0.25">
      <c r="A356" t="s">
        <v>8</v>
      </c>
      <c r="B356" s="1">
        <v>312</v>
      </c>
      <c r="C356" t="s">
        <v>122</v>
      </c>
      <c r="D356" s="1" t="s">
        <v>16</v>
      </c>
      <c r="E356" s="1">
        <v>0</v>
      </c>
      <c r="F356" s="1">
        <v>0</v>
      </c>
      <c r="G356" s="1">
        <v>0</v>
      </c>
      <c r="H356" s="4">
        <v>0</v>
      </c>
      <c r="J356" t="str">
        <f>"0000000237"</f>
        <v>0000000237</v>
      </c>
      <c r="K356" t="str">
        <f>"000312"</f>
        <v>000312</v>
      </c>
      <c r="L356" t="s">
        <v>122</v>
      </c>
      <c r="M356" t="s">
        <v>16</v>
      </c>
      <c r="N356" s="1">
        <v>0</v>
      </c>
      <c r="O356" s="1">
        <v>0</v>
      </c>
      <c r="P356" s="1">
        <v>0</v>
      </c>
      <c r="Q356" s="4">
        <v>0</v>
      </c>
    </row>
    <row r="357" spans="1:17" x14ac:dyDescent="0.25">
      <c r="A357" t="s">
        <v>8</v>
      </c>
      <c r="B357" s="1">
        <v>312</v>
      </c>
      <c r="C357" t="s">
        <v>274</v>
      </c>
      <c r="D357" s="1" t="s">
        <v>16</v>
      </c>
      <c r="E357" s="1">
        <v>0</v>
      </c>
      <c r="F357" s="1">
        <v>0</v>
      </c>
      <c r="G357" s="1">
        <v>0</v>
      </c>
      <c r="H357" s="4">
        <v>0</v>
      </c>
      <c r="J357" t="str">
        <f>"0000000362"</f>
        <v>0000000362</v>
      </c>
      <c r="K357" t="str">
        <f>"312"</f>
        <v>312</v>
      </c>
      <c r="L357" t="s">
        <v>274</v>
      </c>
      <c r="M357" t="s">
        <v>16</v>
      </c>
      <c r="N357" s="1">
        <v>0</v>
      </c>
      <c r="O357" s="1">
        <v>0</v>
      </c>
      <c r="P357" s="1">
        <v>0</v>
      </c>
      <c r="Q357" s="4">
        <v>0</v>
      </c>
    </row>
    <row r="358" spans="1:17" x14ac:dyDescent="0.25">
      <c r="A358" t="s">
        <v>121</v>
      </c>
      <c r="B358" s="1" t="s">
        <v>207</v>
      </c>
      <c r="C358" t="s">
        <v>208</v>
      </c>
      <c r="D358" s="1" t="s">
        <v>16</v>
      </c>
      <c r="E358" s="1">
        <v>0</v>
      </c>
      <c r="F358" s="1">
        <v>0</v>
      </c>
      <c r="G358" s="1">
        <v>0</v>
      </c>
      <c r="H358" s="4">
        <v>0</v>
      </c>
      <c r="J358" t="str">
        <f>"0000000567"</f>
        <v>0000000567</v>
      </c>
      <c r="K358" t="str">
        <f>"MYLORA251"</f>
        <v>MYLORA251</v>
      </c>
      <c r="L358" t="s">
        <v>208</v>
      </c>
      <c r="M358" t="s">
        <v>16</v>
      </c>
      <c r="N358" s="1">
        <v>0</v>
      </c>
      <c r="O358" s="1">
        <v>0</v>
      </c>
      <c r="P358" s="1">
        <v>0</v>
      </c>
      <c r="Q358" s="4">
        <v>0</v>
      </c>
    </row>
    <row r="359" spans="1:17" x14ac:dyDescent="0.25">
      <c r="A359" t="s">
        <v>8</v>
      </c>
      <c r="B359" s="1">
        <v>2</v>
      </c>
      <c r="C359" t="s">
        <v>313</v>
      </c>
      <c r="D359" s="1" t="s">
        <v>16</v>
      </c>
      <c r="E359" s="1">
        <v>0</v>
      </c>
      <c r="F359" s="1">
        <v>0</v>
      </c>
      <c r="G359" s="1">
        <v>0</v>
      </c>
      <c r="H359" s="4">
        <v>0</v>
      </c>
      <c r="J359" t="str">
        <f>"0000000766"</f>
        <v>0000000766</v>
      </c>
      <c r="K359" t="str">
        <f>"2"</f>
        <v>2</v>
      </c>
      <c r="L359" t="s">
        <v>313</v>
      </c>
      <c r="M359" t="s">
        <v>16</v>
      </c>
      <c r="N359" s="1">
        <v>0</v>
      </c>
      <c r="O359" s="1">
        <v>0</v>
      </c>
      <c r="P359" s="1">
        <v>0</v>
      </c>
      <c r="Q359" s="4">
        <v>0</v>
      </c>
    </row>
    <row r="360" spans="1:17" x14ac:dyDescent="0.25">
      <c r="A360" t="s">
        <v>8</v>
      </c>
      <c r="B360" s="1">
        <v>636</v>
      </c>
      <c r="C360" t="s">
        <v>120</v>
      </c>
      <c r="D360" s="1" t="s">
        <v>16</v>
      </c>
      <c r="E360" s="1">
        <v>0</v>
      </c>
      <c r="F360" s="1">
        <v>0</v>
      </c>
      <c r="G360" s="1">
        <v>0</v>
      </c>
      <c r="H360" s="4">
        <v>0</v>
      </c>
      <c r="J360" t="str">
        <f>"0000000443"</f>
        <v>0000000443</v>
      </c>
      <c r="K360" t="str">
        <f>"636"</f>
        <v>636</v>
      </c>
      <c r="L360" t="s">
        <v>120</v>
      </c>
      <c r="M360" t="s">
        <v>16</v>
      </c>
      <c r="N360" s="1">
        <v>0</v>
      </c>
      <c r="O360" s="1">
        <v>0</v>
      </c>
      <c r="P360" s="1">
        <v>0</v>
      </c>
      <c r="Q360" s="4">
        <v>0</v>
      </c>
    </row>
    <row r="361" spans="1:17" x14ac:dyDescent="0.25">
      <c r="A361" t="s">
        <v>8</v>
      </c>
      <c r="B361" s="1">
        <v>168</v>
      </c>
      <c r="C361" t="s">
        <v>320</v>
      </c>
      <c r="D361" s="1" t="s">
        <v>10</v>
      </c>
      <c r="E361" s="1">
        <v>0.75</v>
      </c>
      <c r="F361" s="1">
        <v>0</v>
      </c>
      <c r="G361" s="1">
        <v>0</v>
      </c>
      <c r="H361" s="4">
        <v>0.75</v>
      </c>
      <c r="J361" t="str">
        <f>"0000000468"</f>
        <v>0000000468</v>
      </c>
      <c r="K361" t="str">
        <f>"168"</f>
        <v>168</v>
      </c>
      <c r="L361" t="s">
        <v>320</v>
      </c>
      <c r="M361" t="s">
        <v>10</v>
      </c>
      <c r="N361" s="1">
        <v>0.75</v>
      </c>
      <c r="O361" s="1">
        <v>0</v>
      </c>
      <c r="P361" s="1">
        <v>0</v>
      </c>
      <c r="Q361" s="4">
        <v>0.75</v>
      </c>
    </row>
    <row r="362" spans="1:17" x14ac:dyDescent="0.25">
      <c r="A362" t="s">
        <v>119</v>
      </c>
      <c r="B362" s="1" t="s">
        <v>155</v>
      </c>
      <c r="C362" t="s">
        <v>156</v>
      </c>
      <c r="D362" s="1" t="s">
        <v>12</v>
      </c>
      <c r="E362" s="1">
        <v>-1</v>
      </c>
      <c r="F362" s="1">
        <v>0</v>
      </c>
      <c r="G362" s="1">
        <v>0</v>
      </c>
      <c r="H362" s="8">
        <v>-1</v>
      </c>
      <c r="J362" t="str">
        <f>"0000000315"</f>
        <v>0000000315</v>
      </c>
      <c r="K362" t="str">
        <f>"MYLORA193"</f>
        <v>MYLORA193</v>
      </c>
      <c r="L362" t="s">
        <v>156</v>
      </c>
      <c r="M362" t="s">
        <v>12</v>
      </c>
      <c r="N362" s="1">
        <v>0</v>
      </c>
      <c r="O362" s="1">
        <v>0</v>
      </c>
      <c r="P362" s="1">
        <v>0</v>
      </c>
      <c r="Q362" s="8">
        <v>0</v>
      </c>
    </row>
    <row r="363" spans="1:17" x14ac:dyDescent="0.25">
      <c r="A363" t="s">
        <v>8</v>
      </c>
      <c r="B363" s="1">
        <v>1334</v>
      </c>
      <c r="C363" t="s">
        <v>424</v>
      </c>
      <c r="D363" s="1" t="s">
        <v>10</v>
      </c>
      <c r="E363" s="1">
        <v>97.25</v>
      </c>
      <c r="F363" s="1">
        <v>0</v>
      </c>
      <c r="G363" s="1">
        <v>0</v>
      </c>
      <c r="H363" s="8">
        <v>97.25</v>
      </c>
      <c r="J363" t="str">
        <f>"0000000038"</f>
        <v>0000000038</v>
      </c>
      <c r="K363" t="str">
        <f>"0000001334"</f>
        <v>0000001334</v>
      </c>
      <c r="L363" t="s">
        <v>424</v>
      </c>
      <c r="M363" t="s">
        <v>10</v>
      </c>
      <c r="N363" s="1">
        <v>48</v>
      </c>
      <c r="O363" s="1">
        <v>0</v>
      </c>
      <c r="P363" s="1">
        <v>0</v>
      </c>
      <c r="Q363" s="8">
        <v>48</v>
      </c>
    </row>
    <row r="364" spans="1:17" x14ac:dyDescent="0.25">
      <c r="A364" t="s">
        <v>8</v>
      </c>
      <c r="B364" s="1">
        <v>672</v>
      </c>
      <c r="C364" t="s">
        <v>275</v>
      </c>
      <c r="D364" s="1" t="s">
        <v>10</v>
      </c>
      <c r="E364" s="1">
        <v>0.5</v>
      </c>
      <c r="F364" s="1">
        <v>0</v>
      </c>
      <c r="G364" s="1">
        <v>0</v>
      </c>
      <c r="H364" s="4">
        <v>0.5</v>
      </c>
      <c r="J364" t="str">
        <f>"0000000036"</f>
        <v>0000000036</v>
      </c>
      <c r="K364" t="str">
        <f>"672"</f>
        <v>672</v>
      </c>
      <c r="L364" t="s">
        <v>275</v>
      </c>
      <c r="M364" t="s">
        <v>10</v>
      </c>
      <c r="N364" s="1">
        <v>0.5</v>
      </c>
      <c r="O364" s="1">
        <v>0</v>
      </c>
      <c r="P364" s="1">
        <v>0</v>
      </c>
      <c r="Q364" s="4">
        <v>0.5</v>
      </c>
    </row>
    <row r="365" spans="1:17" x14ac:dyDescent="0.25">
      <c r="A365" t="s">
        <v>8</v>
      </c>
      <c r="B365" s="1">
        <v>671</v>
      </c>
      <c r="C365" t="s">
        <v>475</v>
      </c>
      <c r="D365" s="1" t="s">
        <v>12</v>
      </c>
      <c r="E365" s="1">
        <v>0</v>
      </c>
      <c r="F365" s="1">
        <v>0</v>
      </c>
      <c r="G365" s="1">
        <v>0</v>
      </c>
      <c r="H365" s="4">
        <v>0</v>
      </c>
      <c r="J365" t="str">
        <f>"0000000285"</f>
        <v>0000000285</v>
      </c>
      <c r="K365" t="str">
        <f>"671"</f>
        <v>671</v>
      </c>
      <c r="L365" t="s">
        <v>475</v>
      </c>
      <c r="M365" t="s">
        <v>12</v>
      </c>
      <c r="N365" s="1">
        <v>0</v>
      </c>
      <c r="O365" s="1">
        <v>0</v>
      </c>
      <c r="P365" s="1">
        <v>0</v>
      </c>
      <c r="Q365" s="4">
        <v>0</v>
      </c>
    </row>
    <row r="366" spans="1:17" x14ac:dyDescent="0.25">
      <c r="A366" t="s">
        <v>8</v>
      </c>
      <c r="B366" s="1" t="s">
        <v>355</v>
      </c>
      <c r="C366" t="s">
        <v>356</v>
      </c>
      <c r="D366" s="1" t="s">
        <v>20</v>
      </c>
      <c r="E366" s="1">
        <v>4</v>
      </c>
      <c r="F366" s="1">
        <v>0</v>
      </c>
      <c r="G366" s="1">
        <v>0</v>
      </c>
      <c r="H366" s="4">
        <v>4</v>
      </c>
      <c r="K366" t="str">
        <f>"MYLORA195"</f>
        <v>MYLORA195</v>
      </c>
      <c r="L366" t="s">
        <v>356</v>
      </c>
      <c r="M366" t="s">
        <v>20</v>
      </c>
      <c r="N366" s="1">
        <v>4</v>
      </c>
      <c r="O366" s="1">
        <v>0</v>
      </c>
      <c r="P366" s="1">
        <v>0</v>
      </c>
      <c r="Q366" s="4">
        <v>4</v>
      </c>
    </row>
    <row r="367" spans="1:17" x14ac:dyDescent="0.25">
      <c r="A367" t="s">
        <v>474</v>
      </c>
      <c r="B367" s="1" t="s">
        <v>452</v>
      </c>
      <c r="C367" t="s">
        <v>453</v>
      </c>
      <c r="D367" s="1" t="s">
        <v>16</v>
      </c>
      <c r="E367" s="1">
        <v>77</v>
      </c>
      <c r="F367" s="1">
        <v>0</v>
      </c>
      <c r="G367" s="1">
        <v>0</v>
      </c>
      <c r="H367" s="4">
        <v>77</v>
      </c>
      <c r="K367" t="str">
        <f>"MYLORA243"</f>
        <v>MYLORA243</v>
      </c>
      <c r="L367" t="s">
        <v>453</v>
      </c>
      <c r="M367" t="s">
        <v>16</v>
      </c>
      <c r="N367" s="1">
        <v>77</v>
      </c>
      <c r="O367" s="1">
        <v>0</v>
      </c>
      <c r="P367" s="1">
        <v>0</v>
      </c>
      <c r="Q367" s="4">
        <v>77</v>
      </c>
    </row>
    <row r="368" spans="1:17" x14ac:dyDescent="0.25">
      <c r="A368" t="s">
        <v>17</v>
      </c>
      <c r="B368" s="1" t="s">
        <v>230</v>
      </c>
      <c r="C368" t="s">
        <v>231</v>
      </c>
      <c r="D368" s="1" t="s">
        <v>16</v>
      </c>
      <c r="E368" s="1">
        <v>5</v>
      </c>
      <c r="F368" s="1">
        <v>0</v>
      </c>
      <c r="G368" s="1">
        <v>0</v>
      </c>
      <c r="H368" s="4">
        <v>5</v>
      </c>
      <c r="K368" t="str">
        <f>"MYLORA245"</f>
        <v>MYLORA245</v>
      </c>
      <c r="L368" t="s">
        <v>231</v>
      </c>
      <c r="M368" t="s">
        <v>16</v>
      </c>
      <c r="N368" s="1">
        <v>5</v>
      </c>
      <c r="O368" s="1">
        <v>0</v>
      </c>
      <c r="P368" s="1">
        <v>0</v>
      </c>
      <c r="Q368" s="4">
        <v>5</v>
      </c>
    </row>
    <row r="369" spans="1:17" x14ac:dyDescent="0.25">
      <c r="A369" t="s">
        <v>8</v>
      </c>
      <c r="B369" s="1" t="s">
        <v>83</v>
      </c>
      <c r="C369" t="s">
        <v>84</v>
      </c>
      <c r="D369" s="1" t="s">
        <v>20</v>
      </c>
      <c r="E369" s="1">
        <v>6</v>
      </c>
      <c r="F369" s="1">
        <v>0</v>
      </c>
      <c r="G369" s="1">
        <v>0</v>
      </c>
      <c r="H369" s="4">
        <v>6</v>
      </c>
      <c r="K369" t="str">
        <f>"MYLORA198"</f>
        <v>MYLORA198</v>
      </c>
      <c r="L369" t="s">
        <v>84</v>
      </c>
      <c r="M369" t="s">
        <v>20</v>
      </c>
      <c r="N369" s="1">
        <v>6</v>
      </c>
      <c r="O369" s="1">
        <v>0</v>
      </c>
      <c r="P369" s="1">
        <v>0</v>
      </c>
      <c r="Q369" s="4">
        <v>6</v>
      </c>
    </row>
    <row r="370" spans="1:17" x14ac:dyDescent="0.25">
      <c r="A370" t="s">
        <v>8</v>
      </c>
    </row>
    <row r="371" spans="1:17" x14ac:dyDescent="0.25">
      <c r="A371" t="s">
        <v>8</v>
      </c>
    </row>
  </sheetData>
  <mergeCells count="2">
    <mergeCell ref="A1:H1"/>
    <mergeCell ref="J1:Q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 Report (From 5-29-202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2025-05-29T01:11:54Z</dcterms:created>
  <dcterms:modified xsi:type="dcterms:W3CDTF">2025-05-29T01:12:38Z</dcterms:modified>
</cp:coreProperties>
</file>